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'Jerry'!$A$1:$H$379</definedName>
  </definedNames>
  <calcPr fullCalcOnLoad="1"/>
</workbook>
</file>

<file path=xl/sharedStrings.xml><?xml version="1.0" encoding="utf-8"?>
<sst xmlns="http://schemas.openxmlformats.org/spreadsheetml/2006/main" count="94" uniqueCount="94">
  <si>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</si>
  <si>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</si>
  <si>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</si>
  <si>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</si>
  <si>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</si>
  <si>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</si>
  <si>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</si>
  <si>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</si>
  <si>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</si>
  <si>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</si>
  <si>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</si>
  <si>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</si>
  <si>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</si>
  <si>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</si>
  <si>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</si>
  <si>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</si>
  <si>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</si>
  <si>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</si>
  <si>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R157 SPOT Bond (R157)</t>
  </si>
  <si>
    <t>R186 SPOT Bond (R186)</t>
  </si>
  <si>
    <t>R197 SPOT Bond (R197)</t>
  </si>
  <si>
    <t>R201 SPOT Bond (R201)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</si>
  <si>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</si>
  <si>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</si>
  <si>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</si>
  <si>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</si>
  <si>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</si>
  <si>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</si>
  <si>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</si>
  <si>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</si>
  <si>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</si>
  <si>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</si>
  <si>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</si>
  <si>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</si>
  <si>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</si>
  <si>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R2037 Bond Future (2037)</t>
  </si>
  <si>
    <t>2038 Bond Future (2038)</t>
  </si>
  <si>
    <t>R 2044 Bond Future (2044)</t>
  </si>
  <si>
    <t>2046 Bond Future (2046)</t>
  </si>
  <si>
    <t>2050 Bond Future (2050)</t>
  </si>
  <si>
    <t>EL28 Bond Future (EL28)</t>
  </si>
  <si>
    <t>ES33 FUTURE  (ES33)</t>
  </si>
  <si>
    <t>IR Cando ICAA (ICAA)</t>
  </si>
  <si>
    <t>R023 Bond Future (R023)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</si>
  <si>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</si>
  <si>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</si>
  <si>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</si>
  <si>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</si>
  <si>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</si>
  <si>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</si>
  <si>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</si>
  <si>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</si>
  <si>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</si>
  <si>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</si>
  <si>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</si>
  <si>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</si>
  <si>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</si>
  <si>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</si>
  <si>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Currency Cando CAFC (CAFC)</t>
  </si>
  <si>
    <t>Currency Cando CAFD (CAFD)</t>
  </si>
  <si>
    <t>Currency Cando CAFÉ (CAFE)</t>
  </si>
  <si>
    <t>Currency Cando CAFH (CAFH)</t>
  </si>
  <si>
    <t>Currency Cando CAFJ (CAFJ)</t>
  </si>
  <si>
    <t>Currency Cando CAFK (CAFK)</t>
  </si>
  <si>
    <t>Currency Cando CAFY (CAFY)</t>
  </si>
  <si>
    <t>Currency Cando CAGA (CAGA)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</si>
  <si>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</si>
  <si>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</si>
  <si>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</si>
  <si>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</si>
  <si>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</si>
  <si>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</si>
  <si>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Rand / Can Dollar  (ZACA)</t>
  </si>
  <si>
    <t>Rand / Chinese Renminbi (ZACR)</t>
  </si>
  <si>
    <t>Euro Rand (ZAEU)</t>
  </si>
  <si>
    <t>Rand / Swiss Franc (ZAFR)</t>
  </si>
  <si>
    <t>Pound Rand (ZAGB)</t>
  </si>
  <si>
    <t>Rand / Japanese Yen  (ZAJY)</t>
  </si>
  <si>
    <t>Rand / Kenyan Shilling (ZAKS)</t>
  </si>
  <si>
    <t>Rand / Nigerian Naira (ZANN)</t>
  </si>
  <si>
    <t>Rand / New Zealand Dollar  (ZANZ)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</si>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</sst>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3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8"/>
  <sheetViews>
    <sheetView tabSelected="1" zoomScaleSheetLayoutView="75" zoomScalePageLayoutView="0" workbookViewId="0" topLeftCell="A1">
      <selection activeCell="M14" sqref="M1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41950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ROUND(1.71,5)</f>
        <v>1.71</v>
      </c>
      <c r="D6" s="25">
        <f>F6</f>
        <v>1.71</v>
      </c>
      <c r="E6" s="25">
        <f>F6</f>
        <v>1.71</v>
      </c>
      <c r="F6" s="25">
        <f>ROUND(1.71,5)</f>
        <v>1.71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ROUND(1.76,5)</f>
        <v>1.76</v>
      </c>
      <c r="D8" s="25">
        <f>F8</f>
        <v>1.76</v>
      </c>
      <c r="E8" s="25">
        <f>F8</f>
        <v>1.76</v>
      </c>
      <c r="F8" s="25">
        <f>ROUND(1.76,5)</f>
        <v>1.76</v>
      </c>
      <c r="G8" s="24"/>
      <c r="H8" s="36"/>
    </row>
    <row r="9" spans="1:8" ht="12.75" customHeight="1">
      <c r="A9" s="22" t="s">
        <v>14</v>
      </c>
      <c r="B9" s="22"/>
      <c r="C9" s="23"/>
      <c r="D9" s="23"/>
      <c r="E9" s="23"/>
      <c r="F9" s="23"/>
      <c r="G9" s="24"/>
      <c r="H9" s="36"/>
    </row>
    <row r="10" spans="1:8" ht="12.75" customHeight="1">
      <c r="A10" s="22">
        <v>55153</v>
      </c>
      <c r="B10" s="22"/>
      <c r="C10" s="25">
        <f>ROUND(1.77,5)</f>
        <v>1.77</v>
      </c>
      <c r="D10" s="25">
        <f>F10</f>
        <v>1.77</v>
      </c>
      <c r="E10" s="25">
        <f>F10</f>
        <v>1.77</v>
      </c>
      <c r="F10" s="25">
        <f>ROUND(1.77,5)</f>
        <v>1.77</v>
      </c>
      <c r="G10" s="24"/>
      <c r="H10" s="36"/>
    </row>
    <row r="11" spans="1:8" ht="12.75" customHeight="1">
      <c r="A11" s="22" t="s">
        <v>15</v>
      </c>
      <c r="B11" s="22"/>
      <c r="C11" s="23"/>
      <c r="D11" s="23"/>
      <c r="E11" s="23"/>
      <c r="F11" s="23"/>
      <c r="G11" s="24"/>
      <c r="H11" s="36"/>
    </row>
    <row r="12" spans="1:8" ht="12.75" customHeight="1">
      <c r="A12" s="22">
        <v>46875</v>
      </c>
      <c r="B12" s="22"/>
      <c r="C12" s="25">
        <f>ROUND(1.95,5)</f>
        <v>1.95</v>
      </c>
      <c r="D12" s="25">
        <f>F12</f>
        <v>1.95</v>
      </c>
      <c r="E12" s="25">
        <f>F12</f>
        <v>1.95</v>
      </c>
      <c r="F12" s="25">
        <f>ROUND(1.95,5)</f>
        <v>1.95</v>
      </c>
      <c r="G12" s="24"/>
      <c r="H12" s="36"/>
    </row>
    <row r="13" spans="1:8" ht="12.75" customHeight="1">
      <c r="A13" s="22" t="s">
        <v>16</v>
      </c>
      <c r="B13" s="22"/>
      <c r="C13" s="23"/>
      <c r="D13" s="23"/>
      <c r="E13" s="23"/>
      <c r="F13" s="23"/>
      <c r="G13" s="24"/>
      <c r="H13" s="36"/>
    </row>
    <row r="14" spans="1:8" ht="12.75" customHeight="1">
      <c r="A14" s="22">
        <v>48837</v>
      </c>
      <c r="B14" s="22"/>
      <c r="C14" s="25">
        <f>ROUND(9.52,5)</f>
        <v>9.52</v>
      </c>
      <c r="D14" s="25">
        <f>F14</f>
        <v>9.52</v>
      </c>
      <c r="E14" s="25">
        <f>F14</f>
        <v>9.52</v>
      </c>
      <c r="F14" s="25">
        <f>ROUND(9.52,5)</f>
        <v>9.52</v>
      </c>
      <c r="G14" s="24"/>
      <c r="H14" s="36"/>
    </row>
    <row r="15" spans="1:8" ht="12.75" customHeight="1">
      <c r="A15" s="22" t="s">
        <v>17</v>
      </c>
      <c r="B15" s="22"/>
      <c r="C15" s="23"/>
      <c r="D15" s="23"/>
      <c r="E15" s="23"/>
      <c r="F15" s="23"/>
      <c r="G15" s="24"/>
      <c r="H15" s="36"/>
    </row>
    <row r="16" spans="1:8" ht="12.75" customHeight="1">
      <c r="A16" s="22">
        <v>44985</v>
      </c>
      <c r="B16" s="22"/>
      <c r="C16" s="25">
        <f>ROUND(7.74,5)</f>
        <v>7.74</v>
      </c>
      <c r="D16" s="25">
        <f>F16</f>
        <v>7.74</v>
      </c>
      <c r="E16" s="25">
        <f>F16</f>
        <v>7.74</v>
      </c>
      <c r="F16" s="25">
        <f>ROUND(7.74,5)</f>
        <v>7.74</v>
      </c>
      <c r="G16" s="24"/>
      <c r="H16" s="36"/>
    </row>
    <row r="17" spans="1:8" ht="12.75" customHeight="1">
      <c r="A17" s="22" t="s">
        <v>18</v>
      </c>
      <c r="B17" s="22"/>
      <c r="C17" s="23"/>
      <c r="D17" s="23"/>
      <c r="E17" s="23"/>
      <c r="F17" s="23"/>
      <c r="G17" s="24"/>
      <c r="H17" s="36"/>
    </row>
    <row r="18" spans="1:8" ht="12.75" customHeight="1">
      <c r="A18" s="22">
        <v>42262</v>
      </c>
      <c r="B18" s="22"/>
      <c r="C18" s="26">
        <f>ROUND(0,3)</f>
        <v>0</v>
      </c>
      <c r="D18" s="26">
        <f>F18</f>
        <v>0</v>
      </c>
      <c r="E18" s="26">
        <f>F18</f>
        <v>0</v>
      </c>
      <c r="F18" s="26">
        <f>ROUND(0,3)</f>
        <v>0</v>
      </c>
      <c r="G18" s="24"/>
      <c r="H18" s="36"/>
    </row>
    <row r="19" spans="1:8" ht="12.75" customHeight="1">
      <c r="A19" s="22" t="s">
        <v>19</v>
      </c>
      <c r="B19" s="22"/>
      <c r="C19" s="23"/>
      <c r="D19" s="23"/>
      <c r="E19" s="23"/>
      <c r="F19" s="23"/>
      <c r="G19" s="24"/>
      <c r="H19" s="36"/>
    </row>
    <row r="20" spans="1:8" ht="12.75" customHeight="1">
      <c r="A20" s="22">
        <v>46377</v>
      </c>
      <c r="B20" s="22"/>
      <c r="C20" s="26">
        <f>ROUND(8.04,3)</f>
        <v>8.04</v>
      </c>
      <c r="D20" s="26">
        <f>F20</f>
        <v>8.04</v>
      </c>
      <c r="E20" s="26">
        <f>F20</f>
        <v>8.04</v>
      </c>
      <c r="F20" s="26">
        <f>ROUND(8.04,3)</f>
        <v>8.04</v>
      </c>
      <c r="G20" s="24"/>
      <c r="H20" s="36"/>
    </row>
    <row r="21" spans="1:8" ht="12.75" customHeight="1">
      <c r="A21" s="22" t="s">
        <v>20</v>
      </c>
      <c r="B21" s="22"/>
      <c r="C21" s="23"/>
      <c r="D21" s="23"/>
      <c r="E21" s="23"/>
      <c r="F21" s="23"/>
      <c r="G21" s="24"/>
      <c r="H21" s="36"/>
    </row>
    <row r="22" spans="1:8" ht="12.75" customHeight="1">
      <c r="A22" s="22">
        <v>45267</v>
      </c>
      <c r="B22" s="22"/>
      <c r="C22" s="26">
        <f>ROUND(1.67,3)</f>
        <v>1.67</v>
      </c>
      <c r="D22" s="26">
        <f>F22</f>
        <v>1.67</v>
      </c>
      <c r="E22" s="26">
        <f>F22</f>
        <v>1.67</v>
      </c>
      <c r="F22" s="26">
        <f>ROUND(1.67,3)</f>
        <v>1.67</v>
      </c>
      <c r="G22" s="24"/>
      <c r="H22" s="36"/>
    </row>
    <row r="23" spans="1:8" ht="12.75" customHeight="1">
      <c r="A23" s="22" t="s">
        <v>21</v>
      </c>
      <c r="B23" s="22"/>
      <c r="C23" s="23"/>
      <c r="D23" s="23"/>
      <c r="E23" s="23"/>
      <c r="F23" s="23"/>
      <c r="G23" s="24"/>
      <c r="H23" s="36"/>
    </row>
    <row r="24" spans="1:8" ht="12.75" customHeight="1">
      <c r="A24" s="22">
        <v>41994</v>
      </c>
      <c r="B24" s="22"/>
      <c r="C24" s="26">
        <f>ROUND(5.68,3)</f>
        <v>5.68</v>
      </c>
      <c r="D24" s="26">
        <f>F24</f>
        <v>5.68</v>
      </c>
      <c r="E24" s="26">
        <f>F24</f>
        <v>5.68</v>
      </c>
      <c r="F24" s="26">
        <f>ROUND(5.68,3)</f>
        <v>5.68</v>
      </c>
      <c r="G24" s="24"/>
      <c r="H24" s="36"/>
    </row>
    <row r="25" spans="1:8" ht="12.75" customHeight="1">
      <c r="A25" s="22" t="s">
        <v>22</v>
      </c>
      <c r="B25" s="22"/>
      <c r="C25" s="23"/>
      <c r="D25" s="23"/>
      <c r="E25" s="23"/>
      <c r="F25" s="23"/>
      <c r="G25" s="24"/>
      <c r="H25" s="36"/>
    </row>
    <row r="26" spans="1:8" ht="12.75" customHeight="1">
      <c r="A26" s="22">
        <v>48920</v>
      </c>
      <c r="B26" s="22"/>
      <c r="C26" s="26">
        <f>ROUND(1.75,3)</f>
        <v>1.75</v>
      </c>
      <c r="D26" s="26">
        <f>F26</f>
        <v>1.75</v>
      </c>
      <c r="E26" s="26">
        <f>F26</f>
        <v>1.75</v>
      </c>
      <c r="F26" s="26">
        <f>ROUND(1.75,3)</f>
        <v>1.75</v>
      </c>
      <c r="G26" s="24"/>
      <c r="H26" s="36"/>
    </row>
    <row r="27" spans="1:8" ht="12.75" customHeight="1">
      <c r="A27" s="22" t="s">
        <v>23</v>
      </c>
      <c r="B27" s="22"/>
      <c r="C27" s="23"/>
      <c r="D27" s="23"/>
      <c r="E27" s="23"/>
      <c r="F27" s="23"/>
      <c r="G27" s="24"/>
      <c r="H27" s="36"/>
    </row>
    <row r="28" spans="1:8" ht="12.75" customHeight="1">
      <c r="A28" s="22">
        <v>42993</v>
      </c>
      <c r="B28" s="22"/>
      <c r="C28" s="26">
        <f>ROUND(6.775,3)</f>
        <v>6.775</v>
      </c>
      <c r="D28" s="26">
        <f>F28</f>
        <v>6.775</v>
      </c>
      <c r="E28" s="26">
        <f>F28</f>
        <v>6.775</v>
      </c>
      <c r="F28" s="26">
        <f>ROUND(6.775,3)</f>
        <v>6.775</v>
      </c>
      <c r="G28" s="24"/>
      <c r="H28" s="36"/>
    </row>
    <row r="29" spans="1:8" ht="12.75" customHeight="1">
      <c r="A29" s="22" t="s">
        <v>24</v>
      </c>
      <c r="B29" s="22"/>
      <c r="C29" s="23"/>
      <c r="D29" s="23"/>
      <c r="E29" s="23"/>
      <c r="F29" s="23"/>
      <c r="G29" s="24"/>
      <c r="H29" s="36"/>
    </row>
    <row r="30" spans="1:8" ht="12.75" customHeight="1">
      <c r="A30" s="22">
        <v>43455</v>
      </c>
      <c r="B30" s="22"/>
      <c r="C30" s="26">
        <f>ROUND(7.08,3)</f>
        <v>7.08</v>
      </c>
      <c r="D30" s="26">
        <f>F30</f>
        <v>7.08</v>
      </c>
      <c r="E30" s="26">
        <f>F30</f>
        <v>7.08</v>
      </c>
      <c r="F30" s="26">
        <f>ROUND(7.08,3)</f>
        <v>7.08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43845</v>
      </c>
      <c r="B32" s="22"/>
      <c r="C32" s="26">
        <f>ROUND(7.32,3)</f>
        <v>7.32</v>
      </c>
      <c r="D32" s="26">
        <f>F32</f>
        <v>7.32</v>
      </c>
      <c r="E32" s="26">
        <f>F32</f>
        <v>7.32</v>
      </c>
      <c r="F32" s="26">
        <f>ROUND(7.32,3)</f>
        <v>7.32</v>
      </c>
      <c r="G32" s="24"/>
      <c r="H32" s="36"/>
    </row>
    <row r="33" spans="1:8" ht="12.75" customHeight="1">
      <c r="A33" s="22" t="s">
        <v>26</v>
      </c>
      <c r="B33" s="22"/>
      <c r="C33" s="23"/>
      <c r="D33" s="23"/>
      <c r="E33" s="23"/>
      <c r="F33" s="23"/>
      <c r="G33" s="24"/>
      <c r="H33" s="36"/>
    </row>
    <row r="34" spans="1:8" ht="12.75" customHeight="1">
      <c r="A34" s="22">
        <v>44286</v>
      </c>
      <c r="B34" s="22"/>
      <c r="C34" s="26">
        <f>ROUND(7.5,3)</f>
        <v>7.5</v>
      </c>
      <c r="D34" s="26">
        <f>F34</f>
        <v>7.5</v>
      </c>
      <c r="E34" s="26">
        <f>F34</f>
        <v>7.5</v>
      </c>
      <c r="F34" s="26">
        <f>ROUND(7.5,3)</f>
        <v>7.5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49765</v>
      </c>
      <c r="B36" s="22"/>
      <c r="C36" s="26">
        <f>ROUND(8.64,3)</f>
        <v>8.64</v>
      </c>
      <c r="D36" s="26">
        <f>F36</f>
        <v>8.64</v>
      </c>
      <c r="E36" s="26">
        <f>F36</f>
        <v>8.64</v>
      </c>
      <c r="F36" s="26">
        <f>ROUND(8.64,3)</f>
        <v>8.64</v>
      </c>
      <c r="G36" s="24"/>
      <c r="H36" s="36"/>
    </row>
    <row r="37" spans="1:8" ht="12.75" customHeight="1">
      <c r="A37" s="22" t="s">
        <v>28</v>
      </c>
      <c r="B37" s="22"/>
      <c r="C37" s="23"/>
      <c r="D37" s="23"/>
      <c r="E37" s="23"/>
      <c r="F37" s="23"/>
      <c r="G37" s="24"/>
      <c r="H37" s="36"/>
    </row>
    <row r="38" spans="1:8" ht="12.75" customHeight="1">
      <c r="A38" s="22">
        <v>46843</v>
      </c>
      <c r="B38" s="22"/>
      <c r="C38" s="26">
        <f>ROUND(1.64,3)</f>
        <v>1.64</v>
      </c>
      <c r="D38" s="26">
        <f>F38</f>
        <v>1.64</v>
      </c>
      <c r="E38" s="26">
        <f>F38</f>
        <v>1.64</v>
      </c>
      <c r="F38" s="26">
        <f>ROUND(1.64,3)</f>
        <v>1.64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42766</v>
      </c>
      <c r="B40" s="22"/>
      <c r="C40" s="25">
        <f>ROUND(0.83,5)</f>
        <v>0.83</v>
      </c>
      <c r="D40" s="25">
        <f>F40</f>
        <v>0.83</v>
      </c>
      <c r="E40" s="25">
        <f>F40</f>
        <v>0.83</v>
      </c>
      <c r="F40" s="25">
        <f>ROUND(0.83,5)</f>
        <v>0.83</v>
      </c>
      <c r="G40" s="24"/>
      <c r="H40" s="36"/>
    </row>
    <row r="41" spans="1:8" ht="12.75" customHeight="1">
      <c r="A41" s="22" t="s">
        <v>30</v>
      </c>
      <c r="B41" s="22"/>
      <c r="C41" s="23"/>
      <c r="D41" s="23"/>
      <c r="E41" s="23"/>
      <c r="F41" s="23"/>
      <c r="G41" s="24"/>
      <c r="H41" s="36"/>
    </row>
    <row r="42" spans="1:8" ht="12.75" customHeight="1">
      <c r="A42" s="22">
        <v>44592</v>
      </c>
      <c r="B42" s="22"/>
      <c r="C42" s="26">
        <f>ROUND(1.6,3)</f>
        <v>1.6</v>
      </c>
      <c r="D42" s="26">
        <f>F42</f>
        <v>1.6</v>
      </c>
      <c r="E42" s="26">
        <f>F42</f>
        <v>1.6</v>
      </c>
      <c r="F42" s="26">
        <f>ROUND(1.6,3)</f>
        <v>1.6</v>
      </c>
      <c r="G42" s="24"/>
      <c r="H42" s="36"/>
    </row>
    <row r="43" spans="1:8" ht="12.75" customHeight="1">
      <c r="A43" s="22" t="s">
        <v>31</v>
      </c>
      <c r="B43" s="22"/>
      <c r="C43" s="23"/>
      <c r="D43" s="23"/>
      <c r="E43" s="23"/>
      <c r="F43" s="23"/>
      <c r="G43" s="24"/>
      <c r="H43" s="36"/>
    </row>
    <row r="44" spans="1:8" ht="12.75" customHeight="1">
      <c r="A44" s="22">
        <v>47907</v>
      </c>
      <c r="B44" s="22"/>
      <c r="C44" s="26">
        <f>ROUND(8.49,3)</f>
        <v>8.49</v>
      </c>
      <c r="D44" s="26">
        <f>F44</f>
        <v>8.49</v>
      </c>
      <c r="E44" s="26">
        <f>F44</f>
        <v>8.49</v>
      </c>
      <c r="F44" s="26">
        <f>ROUND(8.49,3)</f>
        <v>8.49</v>
      </c>
      <c r="G44" s="24"/>
      <c r="H44" s="36"/>
    </row>
    <row r="45" spans="1:8" ht="12.75" customHeight="1">
      <c r="A45" s="22" t="s">
        <v>32</v>
      </c>
      <c r="B45" s="22"/>
      <c r="C45" s="23"/>
      <c r="D45" s="23"/>
      <c r="E45" s="23"/>
      <c r="F45" s="23"/>
      <c r="G45" s="24"/>
      <c r="H45" s="36"/>
    </row>
    <row r="46" spans="1:8" ht="12.75" customHeight="1">
      <c r="A46" s="22">
        <v>42040</v>
      </c>
      <c r="B46" s="22"/>
      <c r="C46" s="25">
        <f>ROUND(1.71,5)</f>
        <v>1.71</v>
      </c>
      <c r="D46" s="25">
        <f>F46</f>
        <v>118.80015</v>
      </c>
      <c r="E46" s="25">
        <f>F46</f>
        <v>118.80015</v>
      </c>
      <c r="F46" s="25">
        <f>ROUND(118.80015,5)</f>
        <v>118.80015</v>
      </c>
      <c r="G46" s="24"/>
      <c r="H46" s="36"/>
    </row>
    <row r="47" spans="1:8" ht="12.75" customHeight="1">
      <c r="A47" s="22">
        <v>42131</v>
      </c>
      <c r="B47" s="22"/>
      <c r="C47" s="25">
        <f>ROUND(1.71,5)</f>
        <v>1.71</v>
      </c>
      <c r="D47" s="25">
        <f>F47</f>
        <v>120.76892</v>
      </c>
      <c r="E47" s="25">
        <f>F47</f>
        <v>120.76892</v>
      </c>
      <c r="F47" s="25">
        <f>ROUND(120.76892,5)</f>
        <v>120.76892</v>
      </c>
      <c r="G47" s="24"/>
      <c r="H47" s="36"/>
    </row>
    <row r="48" spans="1:8" ht="12.75" customHeight="1">
      <c r="A48" s="22">
        <v>42222</v>
      </c>
      <c r="B48" s="22"/>
      <c r="C48" s="25">
        <f>ROUND(1.71,5)</f>
        <v>1.71</v>
      </c>
      <c r="D48" s="25">
        <f>F48</f>
        <v>122.83615</v>
      </c>
      <c r="E48" s="25">
        <f>F48</f>
        <v>122.83615</v>
      </c>
      <c r="F48" s="25">
        <f>ROUND(122.83615,5)</f>
        <v>122.83615</v>
      </c>
      <c r="G48" s="24"/>
      <c r="H48" s="36"/>
    </row>
    <row r="49" spans="1:8" ht="12.75" customHeight="1">
      <c r="A49" s="22">
        <v>42313</v>
      </c>
      <c r="B49" s="22"/>
      <c r="C49" s="25">
        <f>ROUND(1.71,5)</f>
        <v>1.71</v>
      </c>
      <c r="D49" s="25">
        <f>F49</f>
        <v>125.07887</v>
      </c>
      <c r="E49" s="25">
        <f>F49</f>
        <v>125.07887</v>
      </c>
      <c r="F49" s="25">
        <f>ROUND(125.07887,5)</f>
        <v>125.07887</v>
      </c>
      <c r="G49" s="24"/>
      <c r="H49" s="36"/>
    </row>
    <row r="50" spans="1:8" ht="12.75" customHeight="1">
      <c r="A50" s="22">
        <v>42404</v>
      </c>
      <c r="B50" s="22"/>
      <c r="C50" s="25">
        <f>ROUND(1.71,5)</f>
        <v>1.71</v>
      </c>
      <c r="D50" s="25">
        <f>F50</f>
        <v>127.10914</v>
      </c>
      <c r="E50" s="25">
        <f>F50</f>
        <v>127.10914</v>
      </c>
      <c r="F50" s="25">
        <f>ROUND(127.10914,5)</f>
        <v>127.10914</v>
      </c>
      <c r="G50" s="24"/>
      <c r="H50" s="36"/>
    </row>
    <row r="51" spans="1:8" ht="12.75" customHeight="1">
      <c r="A51" s="22" t="s">
        <v>33</v>
      </c>
      <c r="B51" s="22"/>
      <c r="C51" s="23"/>
      <c r="D51" s="23"/>
      <c r="E51" s="23"/>
      <c r="F51" s="23"/>
      <c r="G51" s="24"/>
      <c r="H51" s="36"/>
    </row>
    <row r="52" spans="1:8" ht="12.75" customHeight="1">
      <c r="A52" s="22">
        <v>42040</v>
      </c>
      <c r="B52" s="22"/>
      <c r="C52" s="25">
        <f>ROUND(8.455,5)</f>
        <v>8.455</v>
      </c>
      <c r="D52" s="25">
        <f>F52</f>
        <v>8.51942</v>
      </c>
      <c r="E52" s="25">
        <f>F52</f>
        <v>8.51942</v>
      </c>
      <c r="F52" s="25">
        <f>ROUND(8.51942,5)</f>
        <v>8.51942</v>
      </c>
      <c r="G52" s="24"/>
      <c r="H52" s="36"/>
    </row>
    <row r="53" spans="1:8" ht="12.75" customHeight="1">
      <c r="A53" s="22">
        <v>42131</v>
      </c>
      <c r="B53" s="22"/>
      <c r="C53" s="25">
        <f>ROUND(8.455,5)</f>
        <v>8.455</v>
      </c>
      <c r="D53" s="25">
        <f>F53</f>
        <v>8.57595</v>
      </c>
      <c r="E53" s="25">
        <f>F53</f>
        <v>8.57595</v>
      </c>
      <c r="F53" s="25">
        <f>ROUND(8.57595,5)</f>
        <v>8.57595</v>
      </c>
      <c r="G53" s="24"/>
      <c r="H53" s="36"/>
    </row>
    <row r="54" spans="1:8" ht="12.75" customHeight="1">
      <c r="A54" s="22">
        <v>42222</v>
      </c>
      <c r="B54" s="22"/>
      <c r="C54" s="25">
        <f>ROUND(8.455,5)</f>
        <v>8.455</v>
      </c>
      <c r="D54" s="25">
        <f>F54</f>
        <v>8.62746</v>
      </c>
      <c r="E54" s="25">
        <f>F54</f>
        <v>8.62746</v>
      </c>
      <c r="F54" s="25">
        <f>ROUND(8.62746,5)</f>
        <v>8.62746</v>
      </c>
      <c r="G54" s="24"/>
      <c r="H54" s="36"/>
    </row>
    <row r="55" spans="1:8" ht="12.75" customHeight="1">
      <c r="A55" s="22">
        <v>42313</v>
      </c>
      <c r="B55" s="22"/>
      <c r="C55" s="25">
        <f>ROUND(8.455,5)</f>
        <v>8.455</v>
      </c>
      <c r="D55" s="25">
        <f>F55</f>
        <v>8.66003</v>
      </c>
      <c r="E55" s="25">
        <f>F55</f>
        <v>8.66003</v>
      </c>
      <c r="F55" s="25">
        <f>ROUND(8.66003,5)</f>
        <v>8.66003</v>
      </c>
      <c r="G55" s="24"/>
      <c r="H55" s="36"/>
    </row>
    <row r="56" spans="1:8" ht="12.75" customHeight="1">
      <c r="A56" s="22">
        <v>42404</v>
      </c>
      <c r="B56" s="22"/>
      <c r="C56" s="25">
        <f>ROUND(8.455,5)</f>
        <v>8.455</v>
      </c>
      <c r="D56" s="25">
        <f>F56</f>
        <v>8.72439</v>
      </c>
      <c r="E56" s="25">
        <f>F56</f>
        <v>8.72439</v>
      </c>
      <c r="F56" s="25">
        <f>ROUND(8.72439,5)</f>
        <v>8.72439</v>
      </c>
      <c r="G56" s="24"/>
      <c r="H56" s="36"/>
    </row>
    <row r="57" spans="1:8" ht="12.75" customHeight="1">
      <c r="A57" s="22" t="s">
        <v>34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42040</v>
      </c>
      <c r="B58" s="22"/>
      <c r="C58" s="25">
        <f>ROUND(8.605,5)</f>
        <v>8.605</v>
      </c>
      <c r="D58" s="25">
        <f>F58</f>
        <v>8.67192</v>
      </c>
      <c r="E58" s="25">
        <f>F58</f>
        <v>8.67192</v>
      </c>
      <c r="F58" s="25">
        <f>ROUND(8.67192,5)</f>
        <v>8.67192</v>
      </c>
      <c r="G58" s="24"/>
      <c r="H58" s="36"/>
    </row>
    <row r="59" spans="1:8" ht="12.75" customHeight="1">
      <c r="A59" s="22">
        <v>42131</v>
      </c>
      <c r="B59" s="22"/>
      <c r="C59" s="25">
        <f>ROUND(8.605,5)</f>
        <v>8.605</v>
      </c>
      <c r="D59" s="25">
        <f>F59</f>
        <v>8.72846</v>
      </c>
      <c r="E59" s="25">
        <f>F59</f>
        <v>8.72846</v>
      </c>
      <c r="F59" s="25">
        <f>ROUND(8.72846,5)</f>
        <v>8.72846</v>
      </c>
      <c r="G59" s="24"/>
      <c r="H59" s="36"/>
    </row>
    <row r="60" spans="1:8" ht="12.75" customHeight="1">
      <c r="A60" s="22">
        <v>42222</v>
      </c>
      <c r="B60" s="22"/>
      <c r="C60" s="25">
        <f>ROUND(8.605,5)</f>
        <v>8.605</v>
      </c>
      <c r="D60" s="25">
        <f>F60</f>
        <v>8.77885</v>
      </c>
      <c r="E60" s="25">
        <f>F60</f>
        <v>8.77885</v>
      </c>
      <c r="F60" s="25">
        <f>ROUND(8.77885,5)</f>
        <v>8.77885</v>
      </c>
      <c r="G60" s="24"/>
      <c r="H60" s="36"/>
    </row>
    <row r="61" spans="1:8" ht="12.75" customHeight="1">
      <c r="A61" s="22">
        <v>42313</v>
      </c>
      <c r="B61" s="22"/>
      <c r="C61" s="25">
        <f>ROUND(8.605,5)</f>
        <v>8.605</v>
      </c>
      <c r="D61" s="25">
        <f>F61</f>
        <v>8.81567</v>
      </c>
      <c r="E61" s="25">
        <f>F61</f>
        <v>8.81567</v>
      </c>
      <c r="F61" s="25">
        <f>ROUND(8.81567,5)</f>
        <v>8.81567</v>
      </c>
      <c r="G61" s="24"/>
      <c r="H61" s="36"/>
    </row>
    <row r="62" spans="1:8" ht="12.75" customHeight="1">
      <c r="A62" s="22">
        <v>42404</v>
      </c>
      <c r="B62" s="22"/>
      <c r="C62" s="25">
        <f>ROUND(8.605,5)</f>
        <v>8.605</v>
      </c>
      <c r="D62" s="25">
        <f>F62</f>
        <v>8.88152</v>
      </c>
      <c r="E62" s="25">
        <f>F62</f>
        <v>8.88152</v>
      </c>
      <c r="F62" s="25">
        <f>ROUND(8.88152,5)</f>
        <v>8.88152</v>
      </c>
      <c r="G62" s="24"/>
      <c r="H62" s="36"/>
    </row>
    <row r="63" spans="1:8" ht="12.75" customHeight="1">
      <c r="A63" s="22" t="s">
        <v>35</v>
      </c>
      <c r="B63" s="22"/>
      <c r="C63" s="23"/>
      <c r="D63" s="23"/>
      <c r="E63" s="23"/>
      <c r="F63" s="23"/>
      <c r="G63" s="24"/>
      <c r="H63" s="36"/>
    </row>
    <row r="64" spans="1:8" ht="12.75" customHeight="1">
      <c r="A64" s="22">
        <v>42040</v>
      </c>
      <c r="B64" s="22"/>
      <c r="C64" s="25">
        <f>ROUND(8.725,5)</f>
        <v>8.725</v>
      </c>
      <c r="D64" s="25">
        <f>F64</f>
        <v>8.78807</v>
      </c>
      <c r="E64" s="25">
        <f>F64</f>
        <v>8.78807</v>
      </c>
      <c r="F64" s="25">
        <f>ROUND(8.78807,5)</f>
        <v>8.78807</v>
      </c>
      <c r="G64" s="24"/>
      <c r="H64" s="36"/>
    </row>
    <row r="65" spans="1:8" ht="12.75" customHeight="1">
      <c r="A65" s="22">
        <v>42131</v>
      </c>
      <c r="B65" s="22"/>
      <c r="C65" s="25">
        <f>ROUND(8.725,5)</f>
        <v>8.725</v>
      </c>
      <c r="D65" s="25">
        <f>F65</f>
        <v>8.84411</v>
      </c>
      <c r="E65" s="25">
        <f>F65</f>
        <v>8.84411</v>
      </c>
      <c r="F65" s="25">
        <f>ROUND(8.84411,5)</f>
        <v>8.84411</v>
      </c>
      <c r="G65" s="24"/>
      <c r="H65" s="36"/>
    </row>
    <row r="66" spans="1:8" ht="12.75" customHeight="1">
      <c r="A66" s="22">
        <v>42222</v>
      </c>
      <c r="B66" s="22"/>
      <c r="C66" s="25">
        <f>ROUND(8.725,5)</f>
        <v>8.725</v>
      </c>
      <c r="D66" s="25">
        <f>F66</f>
        <v>8.89585</v>
      </c>
      <c r="E66" s="25">
        <f>F66</f>
        <v>8.89585</v>
      </c>
      <c r="F66" s="25">
        <f>ROUND(8.89585,5)</f>
        <v>8.89585</v>
      </c>
      <c r="G66" s="24"/>
      <c r="H66" s="36"/>
    </row>
    <row r="67" spans="1:8" ht="12.75" customHeight="1">
      <c r="A67" s="22">
        <v>42313</v>
      </c>
      <c r="B67" s="22"/>
      <c r="C67" s="25">
        <f>ROUND(8.725,5)</f>
        <v>8.725</v>
      </c>
      <c r="D67" s="25">
        <f>F67</f>
        <v>8.9307</v>
      </c>
      <c r="E67" s="25">
        <f>F67</f>
        <v>8.9307</v>
      </c>
      <c r="F67" s="25">
        <f>ROUND(8.9307,5)</f>
        <v>8.9307</v>
      </c>
      <c r="G67" s="24"/>
      <c r="H67" s="36"/>
    </row>
    <row r="68" spans="1:8" ht="12.75" customHeight="1">
      <c r="A68" s="22">
        <v>42404</v>
      </c>
      <c r="B68" s="22"/>
      <c r="C68" s="25">
        <f>ROUND(8.725,5)</f>
        <v>8.725</v>
      </c>
      <c r="D68" s="25">
        <f>F68</f>
        <v>8.99318</v>
      </c>
      <c r="E68" s="25">
        <f>F68</f>
        <v>8.99318</v>
      </c>
      <c r="F68" s="25">
        <f>ROUND(8.99318,5)</f>
        <v>8.99318</v>
      </c>
      <c r="G68" s="24"/>
      <c r="H68" s="36"/>
    </row>
    <row r="69" spans="1:8" ht="12.75" customHeight="1">
      <c r="A69" s="22" t="s">
        <v>36</v>
      </c>
      <c r="B69" s="22"/>
      <c r="C69" s="23"/>
      <c r="D69" s="23"/>
      <c r="E69" s="23"/>
      <c r="F69" s="23"/>
      <c r="G69" s="24"/>
      <c r="H69" s="36"/>
    </row>
    <row r="70" spans="1:8" ht="12.75" customHeight="1">
      <c r="A70" s="22">
        <v>42040</v>
      </c>
      <c r="B70" s="22"/>
      <c r="C70" s="25">
        <f>ROUND(1.76,5)</f>
        <v>1.76</v>
      </c>
      <c r="D70" s="25">
        <f>F70</f>
        <v>126.40145</v>
      </c>
      <c r="E70" s="25">
        <f>F70</f>
        <v>126.40145</v>
      </c>
      <c r="F70" s="25">
        <f>ROUND(126.40145,5)</f>
        <v>126.40145</v>
      </c>
      <c r="G70" s="24"/>
      <c r="H70" s="36"/>
    </row>
    <row r="71" spans="1:8" ht="12.75" customHeight="1">
      <c r="A71" s="22">
        <v>42131</v>
      </c>
      <c r="B71" s="22"/>
      <c r="C71" s="25">
        <f>ROUND(1.76,5)</f>
        <v>1.76</v>
      </c>
      <c r="D71" s="25">
        <f>F71</f>
        <v>128.49618</v>
      </c>
      <c r="E71" s="25">
        <f>F71</f>
        <v>128.49618</v>
      </c>
      <c r="F71" s="25">
        <f>ROUND(128.49618,5)</f>
        <v>128.49618</v>
      </c>
      <c r="G71" s="24"/>
      <c r="H71" s="36"/>
    </row>
    <row r="72" spans="1:8" ht="12.75" customHeight="1">
      <c r="A72" s="22">
        <v>42222</v>
      </c>
      <c r="B72" s="22"/>
      <c r="C72" s="25">
        <f>ROUND(1.76,5)</f>
        <v>1.76</v>
      </c>
      <c r="D72" s="25">
        <f>F72</f>
        <v>130.69335</v>
      </c>
      <c r="E72" s="25">
        <f>F72</f>
        <v>130.69335</v>
      </c>
      <c r="F72" s="25">
        <f>ROUND(130.69335,5)</f>
        <v>130.69335</v>
      </c>
      <c r="G72" s="24"/>
      <c r="H72" s="36"/>
    </row>
    <row r="73" spans="1:8" ht="12.75" customHeight="1">
      <c r="A73" s="22">
        <v>42313</v>
      </c>
      <c r="B73" s="22"/>
      <c r="C73" s="25">
        <f>ROUND(1.76,5)</f>
        <v>1.76</v>
      </c>
      <c r="D73" s="25">
        <f>F73</f>
        <v>133.07955</v>
      </c>
      <c r="E73" s="25">
        <f>F73</f>
        <v>133.07955</v>
      </c>
      <c r="F73" s="25">
        <f>ROUND(133.07955,5)</f>
        <v>133.07955</v>
      </c>
      <c r="G73" s="24"/>
      <c r="H73" s="36"/>
    </row>
    <row r="74" spans="1:8" ht="12.75" customHeight="1">
      <c r="A74" s="22">
        <v>42404</v>
      </c>
      <c r="B74" s="22"/>
      <c r="C74" s="25">
        <f>ROUND(1.76,5)</f>
        <v>1.76</v>
      </c>
      <c r="D74" s="25">
        <f>F74</f>
        <v>135.23966</v>
      </c>
      <c r="E74" s="25">
        <f>F74</f>
        <v>135.23966</v>
      </c>
      <c r="F74" s="25">
        <f>ROUND(135.23966,5)</f>
        <v>135.23966</v>
      </c>
      <c r="G74" s="24"/>
      <c r="H74" s="36"/>
    </row>
    <row r="75" spans="1:8" ht="12.75" customHeight="1">
      <c r="A75" s="22" t="s">
        <v>37</v>
      </c>
      <c r="B75" s="22"/>
      <c r="C75" s="23"/>
      <c r="D75" s="23"/>
      <c r="E75" s="23"/>
      <c r="F75" s="23"/>
      <c r="G75" s="24"/>
      <c r="H75" s="36"/>
    </row>
    <row r="76" spans="1:8" ht="12.75" customHeight="1">
      <c r="A76" s="22">
        <v>42040</v>
      </c>
      <c r="B76" s="22"/>
      <c r="C76" s="25">
        <f>ROUND(8.81,5)</f>
        <v>8.81</v>
      </c>
      <c r="D76" s="25">
        <f>F76</f>
        <v>8.87104</v>
      </c>
      <c r="E76" s="25">
        <f>F76</f>
        <v>8.87104</v>
      </c>
      <c r="F76" s="25">
        <f>ROUND(8.87104,5)</f>
        <v>8.87104</v>
      </c>
      <c r="G76" s="24"/>
      <c r="H76" s="36"/>
    </row>
    <row r="77" spans="1:8" ht="12.75" customHeight="1">
      <c r="A77" s="22">
        <v>42131</v>
      </c>
      <c r="B77" s="22"/>
      <c r="C77" s="25">
        <f>ROUND(8.81,5)</f>
        <v>8.81</v>
      </c>
      <c r="D77" s="25">
        <f>F77</f>
        <v>8.92542</v>
      </c>
      <c r="E77" s="25">
        <f>F77</f>
        <v>8.92542</v>
      </c>
      <c r="F77" s="25">
        <f>ROUND(8.92542,5)</f>
        <v>8.92542</v>
      </c>
      <c r="G77" s="24"/>
      <c r="H77" s="36"/>
    </row>
    <row r="78" spans="1:8" ht="12.75" customHeight="1">
      <c r="A78" s="22">
        <v>42222</v>
      </c>
      <c r="B78" s="22"/>
      <c r="C78" s="25">
        <f>ROUND(8.81,5)</f>
        <v>8.81</v>
      </c>
      <c r="D78" s="25">
        <f>F78</f>
        <v>8.97576</v>
      </c>
      <c r="E78" s="25">
        <f>F78</f>
        <v>8.97576</v>
      </c>
      <c r="F78" s="25">
        <f>ROUND(8.97576,5)</f>
        <v>8.97576</v>
      </c>
      <c r="G78" s="24"/>
      <c r="H78" s="36"/>
    </row>
    <row r="79" spans="1:8" ht="12.75" customHeight="1">
      <c r="A79" s="22">
        <v>42313</v>
      </c>
      <c r="B79" s="22"/>
      <c r="C79" s="25">
        <f>ROUND(8.81,5)</f>
        <v>8.81</v>
      </c>
      <c r="D79" s="25">
        <f>F79</f>
        <v>9.01013</v>
      </c>
      <c r="E79" s="25">
        <f>F79</f>
        <v>9.01013</v>
      </c>
      <c r="F79" s="25">
        <f>ROUND(9.01013,5)</f>
        <v>9.01013</v>
      </c>
      <c r="G79" s="24"/>
      <c r="H79" s="36"/>
    </row>
    <row r="80" spans="1:8" ht="12.75" customHeight="1">
      <c r="A80" s="22">
        <v>42404</v>
      </c>
      <c r="B80" s="22"/>
      <c r="C80" s="25">
        <f>ROUND(8.81,5)</f>
        <v>8.81</v>
      </c>
      <c r="D80" s="25">
        <f>F80</f>
        <v>9.07028</v>
      </c>
      <c r="E80" s="25">
        <f>F80</f>
        <v>9.07028</v>
      </c>
      <c r="F80" s="25">
        <f>ROUND(9.07028,5)</f>
        <v>9.07028</v>
      </c>
      <c r="G80" s="24"/>
      <c r="H80" s="36"/>
    </row>
    <row r="81" spans="1:8" ht="12.75" customHeight="1">
      <c r="A81" s="22" t="s">
        <v>38</v>
      </c>
      <c r="B81" s="22"/>
      <c r="C81" s="23"/>
      <c r="D81" s="23"/>
      <c r="E81" s="23"/>
      <c r="F81" s="23"/>
      <c r="G81" s="24"/>
      <c r="H81" s="36"/>
    </row>
    <row r="82" spans="1:8" ht="12.75" customHeight="1">
      <c r="A82" s="22">
        <v>42040</v>
      </c>
      <c r="B82" s="22"/>
      <c r="C82" s="25">
        <f>ROUND(126.75115,5)</f>
        <v>126.75115</v>
      </c>
      <c r="D82" s="25">
        <f>F82</f>
        <v>128.68586</v>
      </c>
      <c r="E82" s="25">
        <f>F82</f>
        <v>128.68586</v>
      </c>
      <c r="F82" s="25">
        <f>ROUND(128.68586,5)</f>
        <v>128.68586</v>
      </c>
      <c r="G82" s="24"/>
      <c r="H82" s="36"/>
    </row>
    <row r="83" spans="1:8" ht="12.75" customHeight="1">
      <c r="A83" s="22">
        <v>42131</v>
      </c>
      <c r="B83" s="22"/>
      <c r="C83" s="25">
        <f>ROUND(126.75115,5)</f>
        <v>126.75115</v>
      </c>
      <c r="D83" s="25">
        <f>F83</f>
        <v>129.44722</v>
      </c>
      <c r="E83" s="25">
        <f>F83</f>
        <v>129.44722</v>
      </c>
      <c r="F83" s="25">
        <f>ROUND(129.44722,5)</f>
        <v>129.44722</v>
      </c>
      <c r="G83" s="24"/>
      <c r="H83" s="36"/>
    </row>
    <row r="84" spans="1:8" ht="12.75" customHeight="1">
      <c r="A84" s="22">
        <v>42222</v>
      </c>
      <c r="B84" s="22"/>
      <c r="C84" s="25">
        <f>ROUND(126.75115,5)</f>
        <v>126.75115</v>
      </c>
      <c r="D84" s="25">
        <f>F84</f>
        <v>131.7043</v>
      </c>
      <c r="E84" s="25">
        <f>F84</f>
        <v>131.7043</v>
      </c>
      <c r="F84" s="25">
        <f>ROUND(131.7043,5)</f>
        <v>131.7043</v>
      </c>
      <c r="G84" s="24"/>
      <c r="H84" s="36"/>
    </row>
    <row r="85" spans="1:8" ht="12.75" customHeight="1">
      <c r="A85" s="22">
        <v>42313</v>
      </c>
      <c r="B85" s="22"/>
      <c r="C85" s="25">
        <f>ROUND(126.75115,5)</f>
        <v>126.75115</v>
      </c>
      <c r="D85" s="25">
        <f>F85</f>
        <v>134.10924</v>
      </c>
      <c r="E85" s="25">
        <f>F85</f>
        <v>134.10924</v>
      </c>
      <c r="F85" s="25">
        <f>ROUND(134.10924,5)</f>
        <v>134.10924</v>
      </c>
      <c r="G85" s="24"/>
      <c r="H85" s="36"/>
    </row>
    <row r="86" spans="1:8" ht="12.75" customHeight="1">
      <c r="A86" s="22">
        <v>42404</v>
      </c>
      <c r="B86" s="22"/>
      <c r="C86" s="25">
        <f>ROUND(126.75115,5)</f>
        <v>126.75115</v>
      </c>
      <c r="D86" s="25">
        <f>F86</f>
        <v>136.28585</v>
      </c>
      <c r="E86" s="25">
        <f>F86</f>
        <v>136.28585</v>
      </c>
      <c r="F86" s="25">
        <f>ROUND(136.28585,5)</f>
        <v>136.28585</v>
      </c>
      <c r="G86" s="24"/>
      <c r="H86" s="36"/>
    </row>
    <row r="87" spans="1:8" ht="12.75" customHeight="1">
      <c r="A87" s="22" t="s">
        <v>39</v>
      </c>
      <c r="B87" s="22"/>
      <c r="C87" s="23"/>
      <c r="D87" s="23"/>
      <c r="E87" s="23"/>
      <c r="F87" s="23"/>
      <c r="G87" s="24"/>
      <c r="H87" s="36"/>
    </row>
    <row r="88" spans="1:8" ht="12.75" customHeight="1">
      <c r="A88" s="22">
        <v>42040</v>
      </c>
      <c r="B88" s="22"/>
      <c r="C88" s="25">
        <f>ROUND(1.77,5)</f>
        <v>1.77</v>
      </c>
      <c r="D88" s="25">
        <f>F88</f>
        <v>138.20708</v>
      </c>
      <c r="E88" s="25">
        <f>F88</f>
        <v>138.20708</v>
      </c>
      <c r="F88" s="25">
        <f>ROUND(138.20708,5)</f>
        <v>138.20708</v>
      </c>
      <c r="G88" s="24"/>
      <c r="H88" s="36"/>
    </row>
    <row r="89" spans="1:8" ht="12.75" customHeight="1">
      <c r="A89" s="22">
        <v>42131</v>
      </c>
      <c r="B89" s="22"/>
      <c r="C89" s="25">
        <f>ROUND(1.77,5)</f>
        <v>1.77</v>
      </c>
      <c r="D89" s="25">
        <f>F89</f>
        <v>140.49722</v>
      </c>
      <c r="E89" s="25">
        <f>F89</f>
        <v>140.49722</v>
      </c>
      <c r="F89" s="25">
        <f>ROUND(140.49722,5)</f>
        <v>140.49722</v>
      </c>
      <c r="G89" s="24"/>
      <c r="H89" s="36"/>
    </row>
    <row r="90" spans="1:8" ht="12.75" customHeight="1">
      <c r="A90" s="22">
        <v>42222</v>
      </c>
      <c r="B90" s="22"/>
      <c r="C90" s="25">
        <f>ROUND(1.77,5)</f>
        <v>1.77</v>
      </c>
      <c r="D90" s="25">
        <f>F90</f>
        <v>141.45818</v>
      </c>
      <c r="E90" s="25">
        <f>F90</f>
        <v>141.45818</v>
      </c>
      <c r="F90" s="25">
        <f>ROUND(141.45818,5)</f>
        <v>141.45818</v>
      </c>
      <c r="G90" s="24"/>
      <c r="H90" s="36"/>
    </row>
    <row r="91" spans="1:8" ht="12.75" customHeight="1">
      <c r="A91" s="22">
        <v>42313</v>
      </c>
      <c r="B91" s="22"/>
      <c r="C91" s="25">
        <f>ROUND(1.77,5)</f>
        <v>1.77</v>
      </c>
      <c r="D91" s="25">
        <f>F91</f>
        <v>144.04206</v>
      </c>
      <c r="E91" s="25">
        <f>F91</f>
        <v>144.04206</v>
      </c>
      <c r="F91" s="25">
        <f>ROUND(144.04206,5)</f>
        <v>144.04206</v>
      </c>
      <c r="G91" s="24"/>
      <c r="H91" s="36"/>
    </row>
    <row r="92" spans="1:8" ht="12.75" customHeight="1">
      <c r="A92" s="22">
        <v>42404</v>
      </c>
      <c r="B92" s="22"/>
      <c r="C92" s="25">
        <f>ROUND(1.77,5)</f>
        <v>1.77</v>
      </c>
      <c r="D92" s="25">
        <f>F92</f>
        <v>146.37923</v>
      </c>
      <c r="E92" s="25">
        <f>F92</f>
        <v>146.37923</v>
      </c>
      <c r="F92" s="25">
        <f>ROUND(146.37923,5)</f>
        <v>146.37923</v>
      </c>
      <c r="G92" s="24"/>
      <c r="H92" s="36"/>
    </row>
    <row r="93" spans="1:8" ht="12.75" customHeight="1">
      <c r="A93" s="22" t="s">
        <v>40</v>
      </c>
      <c r="B93" s="22"/>
      <c r="C93" s="23"/>
      <c r="D93" s="23"/>
      <c r="E93" s="23"/>
      <c r="F93" s="23"/>
      <c r="G93" s="24"/>
      <c r="H93" s="36"/>
    </row>
    <row r="94" spans="1:8" ht="12.75" customHeight="1">
      <c r="A94" s="22">
        <v>42040</v>
      </c>
      <c r="B94" s="22"/>
      <c r="C94" s="25">
        <f>ROUND(1.95,5)</f>
        <v>1.95</v>
      </c>
      <c r="D94" s="25">
        <f>F94</f>
        <v>126.54481</v>
      </c>
      <c r="E94" s="25">
        <f>F94</f>
        <v>126.54481</v>
      </c>
      <c r="F94" s="25">
        <f>ROUND(126.54481,5)</f>
        <v>126.54481</v>
      </c>
      <c r="G94" s="24"/>
      <c r="H94" s="36"/>
    </row>
    <row r="95" spans="1:8" ht="12.75" customHeight="1">
      <c r="A95" s="22">
        <v>42131</v>
      </c>
      <c r="B95" s="22"/>
      <c r="C95" s="25">
        <f>ROUND(1.95,5)</f>
        <v>1.95</v>
      </c>
      <c r="D95" s="25">
        <f>F95</f>
        <v>127.13024</v>
      </c>
      <c r="E95" s="25">
        <f>F95</f>
        <v>127.13024</v>
      </c>
      <c r="F95" s="25">
        <f>ROUND(127.13024,5)</f>
        <v>127.13024</v>
      </c>
      <c r="G95" s="24"/>
      <c r="H95" s="36"/>
    </row>
    <row r="96" spans="1:8" ht="12.75" customHeight="1">
      <c r="A96" s="22">
        <v>42222</v>
      </c>
      <c r="B96" s="22"/>
      <c r="C96" s="25">
        <f>ROUND(1.95,5)</f>
        <v>1.95</v>
      </c>
      <c r="D96" s="25">
        <f>F96</f>
        <v>129.34714</v>
      </c>
      <c r="E96" s="25">
        <f>F96</f>
        <v>129.34714</v>
      </c>
      <c r="F96" s="25">
        <f>ROUND(129.34714,5)</f>
        <v>129.34714</v>
      </c>
      <c r="G96" s="24"/>
      <c r="H96" s="36"/>
    </row>
    <row r="97" spans="1:8" ht="12.75" customHeight="1">
      <c r="A97" s="22">
        <v>42313</v>
      </c>
      <c r="B97" s="22"/>
      <c r="C97" s="25">
        <f>ROUND(1.95,5)</f>
        <v>1.95</v>
      </c>
      <c r="D97" s="25">
        <f>F97</f>
        <v>131.70933</v>
      </c>
      <c r="E97" s="25">
        <f>F97</f>
        <v>131.70933</v>
      </c>
      <c r="F97" s="25">
        <f>ROUND(131.70933,5)</f>
        <v>131.70933</v>
      </c>
      <c r="G97" s="24"/>
      <c r="H97" s="36"/>
    </row>
    <row r="98" spans="1:8" ht="12.75" customHeight="1">
      <c r="A98" s="22">
        <v>42404</v>
      </c>
      <c r="B98" s="22"/>
      <c r="C98" s="25">
        <f>ROUND(1.95,5)</f>
        <v>1.95</v>
      </c>
      <c r="D98" s="25">
        <f>F98</f>
        <v>133.84676</v>
      </c>
      <c r="E98" s="25">
        <f>F98</f>
        <v>133.84676</v>
      </c>
      <c r="F98" s="25">
        <f>ROUND(133.84676,5)</f>
        <v>133.84676</v>
      </c>
      <c r="G98" s="24"/>
      <c r="H98" s="36"/>
    </row>
    <row r="99" spans="1:8" ht="12.75" customHeight="1">
      <c r="A99" s="22" t="s">
        <v>41</v>
      </c>
      <c r="B99" s="22"/>
      <c r="C99" s="23"/>
      <c r="D99" s="23"/>
      <c r="E99" s="23"/>
      <c r="F99" s="23"/>
      <c r="G99" s="24"/>
      <c r="H99" s="36"/>
    </row>
    <row r="100" spans="1:8" ht="12.75" customHeight="1">
      <c r="A100" s="22">
        <v>42040</v>
      </c>
      <c r="B100" s="22"/>
      <c r="C100" s="25">
        <f>ROUND(9.52,5)</f>
        <v>9.52</v>
      </c>
      <c r="D100" s="25">
        <f>F100</f>
        <v>9.61291</v>
      </c>
      <c r="E100" s="25">
        <f>F100</f>
        <v>9.61291</v>
      </c>
      <c r="F100" s="25">
        <f>ROUND(9.61291,5)</f>
        <v>9.61291</v>
      </c>
      <c r="G100" s="24"/>
      <c r="H100" s="36"/>
    </row>
    <row r="101" spans="1:8" ht="12.75" customHeight="1">
      <c r="A101" s="22">
        <v>42131</v>
      </c>
      <c r="B101" s="22"/>
      <c r="C101" s="25">
        <f>ROUND(9.52,5)</f>
        <v>9.52</v>
      </c>
      <c r="D101" s="25">
        <f>F101</f>
        <v>9.6939</v>
      </c>
      <c r="E101" s="25">
        <f>F101</f>
        <v>9.6939</v>
      </c>
      <c r="F101" s="25">
        <f>ROUND(9.6939,5)</f>
        <v>9.6939</v>
      </c>
      <c r="G101" s="24"/>
      <c r="H101" s="36"/>
    </row>
    <row r="102" spans="1:8" ht="12.75" customHeight="1">
      <c r="A102" s="22">
        <v>42222</v>
      </c>
      <c r="B102" s="22"/>
      <c r="C102" s="25">
        <f>ROUND(9.52,5)</f>
        <v>9.52</v>
      </c>
      <c r="D102" s="25">
        <f>F102</f>
        <v>9.76962</v>
      </c>
      <c r="E102" s="25">
        <f>F102</f>
        <v>9.76962</v>
      </c>
      <c r="F102" s="25">
        <f>ROUND(9.76962,5)</f>
        <v>9.76962</v>
      </c>
      <c r="G102" s="24"/>
      <c r="H102" s="36"/>
    </row>
    <row r="103" spans="1:8" ht="12.75" customHeight="1">
      <c r="A103" s="22">
        <v>42313</v>
      </c>
      <c r="B103" s="22"/>
      <c r="C103" s="25">
        <f>ROUND(9.52,5)</f>
        <v>9.52</v>
      </c>
      <c r="D103" s="25">
        <f>F103</f>
        <v>9.83347</v>
      </c>
      <c r="E103" s="25">
        <f>F103</f>
        <v>9.83347</v>
      </c>
      <c r="F103" s="25">
        <f>ROUND(9.83347,5)</f>
        <v>9.83347</v>
      </c>
      <c r="G103" s="24"/>
      <c r="H103" s="36"/>
    </row>
    <row r="104" spans="1:8" ht="12.75" customHeight="1">
      <c r="A104" s="22">
        <v>42404</v>
      </c>
      <c r="B104" s="22"/>
      <c r="C104" s="25">
        <f>ROUND(9.52,5)</f>
        <v>9.52</v>
      </c>
      <c r="D104" s="25">
        <f>F104</f>
        <v>9.92922</v>
      </c>
      <c r="E104" s="25">
        <f>F104</f>
        <v>9.92922</v>
      </c>
      <c r="F104" s="25">
        <f>ROUND(9.92922,5)</f>
        <v>9.92922</v>
      </c>
      <c r="G104" s="24"/>
      <c r="H104" s="36"/>
    </row>
    <row r="105" spans="1:8" ht="12.75" customHeight="1">
      <c r="A105" s="22" t="s">
        <v>42</v>
      </c>
      <c r="B105" s="22"/>
      <c r="C105" s="23"/>
      <c r="D105" s="23"/>
      <c r="E105" s="23"/>
      <c r="F105" s="23"/>
      <c r="G105" s="24"/>
      <c r="H105" s="36"/>
    </row>
    <row r="106" spans="1:8" ht="12.75" customHeight="1">
      <c r="A106" s="22">
        <v>42040</v>
      </c>
      <c r="B106" s="22"/>
      <c r="C106" s="25">
        <f>ROUND(145.1987992,5)</f>
        <v>145.1988</v>
      </c>
      <c r="D106" s="25">
        <f>F106</f>
        <v>145.46306</v>
      </c>
      <c r="E106" s="25">
        <f>F106</f>
        <v>145.46306</v>
      </c>
      <c r="F106" s="25">
        <f>ROUND(145.46306,5)</f>
        <v>145.46306</v>
      </c>
      <c r="G106" s="24"/>
      <c r="H106" s="36"/>
    </row>
    <row r="107" spans="1:8" ht="12.75" customHeight="1">
      <c r="A107" s="22">
        <v>42131</v>
      </c>
      <c r="B107" s="22"/>
      <c r="C107" s="25">
        <f>ROUND(145.1987992,5)</f>
        <v>145.1988</v>
      </c>
      <c r="D107" s="25">
        <f>F107</f>
        <v>147.87373</v>
      </c>
      <c r="E107" s="25">
        <f>F107</f>
        <v>147.87373</v>
      </c>
      <c r="F107" s="25">
        <f>ROUND(147.87373,5)</f>
        <v>147.87373</v>
      </c>
      <c r="G107" s="24"/>
      <c r="H107" s="36"/>
    </row>
    <row r="108" spans="1:8" ht="12.75" customHeight="1">
      <c r="A108" s="22" t="s">
        <v>43</v>
      </c>
      <c r="B108" s="22"/>
      <c r="C108" s="23"/>
      <c r="D108" s="23"/>
      <c r="E108" s="23"/>
      <c r="F108" s="23"/>
      <c r="G108" s="24"/>
      <c r="H108" s="36"/>
    </row>
    <row r="109" spans="1:8" ht="12.75" customHeight="1">
      <c r="A109" s="22">
        <v>42040</v>
      </c>
      <c r="B109" s="22"/>
      <c r="C109" s="25">
        <f>ROUND(7.74,5)</f>
        <v>7.74</v>
      </c>
      <c r="D109" s="25">
        <f>F109</f>
        <v>7.80754</v>
      </c>
      <c r="E109" s="25">
        <f>F109</f>
        <v>7.80754</v>
      </c>
      <c r="F109" s="25">
        <f>ROUND(7.80754,5)</f>
        <v>7.80754</v>
      </c>
      <c r="G109" s="24"/>
      <c r="H109" s="36"/>
    </row>
    <row r="110" spans="1:8" ht="12.75" customHeight="1">
      <c r="A110" s="22">
        <v>42131</v>
      </c>
      <c r="B110" s="22"/>
      <c r="C110" s="25">
        <f>ROUND(7.74,5)</f>
        <v>7.74</v>
      </c>
      <c r="D110" s="25">
        <f>F110</f>
        <v>7.85501</v>
      </c>
      <c r="E110" s="25">
        <f>F110</f>
        <v>7.85501</v>
      </c>
      <c r="F110" s="25">
        <f>ROUND(7.85501,5)</f>
        <v>7.85501</v>
      </c>
      <c r="G110" s="24"/>
      <c r="H110" s="36"/>
    </row>
    <row r="111" spans="1:8" ht="12.75" customHeight="1">
      <c r="A111" s="22">
        <v>42222</v>
      </c>
      <c r="B111" s="22"/>
      <c r="C111" s="25">
        <f>ROUND(7.74,5)</f>
        <v>7.74</v>
      </c>
      <c r="D111" s="25">
        <f>F111</f>
        <v>7.89333</v>
      </c>
      <c r="E111" s="25">
        <f>F111</f>
        <v>7.89333</v>
      </c>
      <c r="F111" s="25">
        <f>ROUND(7.89333,5)</f>
        <v>7.89333</v>
      </c>
      <c r="G111" s="24"/>
      <c r="H111" s="36"/>
    </row>
    <row r="112" spans="1:8" ht="12.75" customHeight="1">
      <c r="A112" s="22">
        <v>42313</v>
      </c>
      <c r="B112" s="22"/>
      <c r="C112" s="25">
        <f>ROUND(7.74,5)</f>
        <v>7.74</v>
      </c>
      <c r="D112" s="25">
        <f>F112</f>
        <v>7.91476</v>
      </c>
      <c r="E112" s="25">
        <f>F112</f>
        <v>7.91476</v>
      </c>
      <c r="F112" s="25">
        <f>ROUND(7.91476,5)</f>
        <v>7.91476</v>
      </c>
      <c r="G112" s="24"/>
      <c r="H112" s="36"/>
    </row>
    <row r="113" spans="1:8" ht="12.75" customHeight="1">
      <c r="A113" s="22">
        <v>42404</v>
      </c>
      <c r="B113" s="22"/>
      <c r="C113" s="25">
        <f>ROUND(7.74,5)</f>
        <v>7.74</v>
      </c>
      <c r="D113" s="25">
        <f>F113</f>
        <v>7.98377</v>
      </c>
      <c r="E113" s="25">
        <f>F113</f>
        <v>7.98377</v>
      </c>
      <c r="F113" s="25">
        <f>ROUND(7.98377,5)</f>
        <v>7.98377</v>
      </c>
      <c r="G113" s="24"/>
      <c r="H113" s="36"/>
    </row>
    <row r="114" spans="1:8" ht="12.75" customHeight="1">
      <c r="A114" s="22" t="s">
        <v>44</v>
      </c>
      <c r="B114" s="22"/>
      <c r="C114" s="23"/>
      <c r="D114" s="23"/>
      <c r="E114" s="23"/>
      <c r="F114" s="23"/>
      <c r="G114" s="24"/>
      <c r="H114" s="36"/>
    </row>
    <row r="115" spans="1:8" ht="12.75" customHeight="1">
      <c r="A115" s="22">
        <v>42040</v>
      </c>
      <c r="B115" s="22"/>
      <c r="C115" s="25">
        <f>ROUND(8.04,5)</f>
        <v>8.04</v>
      </c>
      <c r="D115" s="25">
        <f>F115</f>
        <v>8.10365</v>
      </c>
      <c r="E115" s="25">
        <f>F115</f>
        <v>8.10365</v>
      </c>
      <c r="F115" s="25">
        <f>ROUND(8.10365,5)</f>
        <v>8.10365</v>
      </c>
      <c r="G115" s="24"/>
      <c r="H115" s="36"/>
    </row>
    <row r="116" spans="1:8" ht="12.75" customHeight="1">
      <c r="A116" s="22">
        <v>42131</v>
      </c>
      <c r="B116" s="22"/>
      <c r="C116" s="25">
        <f>ROUND(8.04,5)</f>
        <v>8.04</v>
      </c>
      <c r="D116" s="25">
        <f>F116</f>
        <v>8.1555</v>
      </c>
      <c r="E116" s="25">
        <f>F116</f>
        <v>8.1555</v>
      </c>
      <c r="F116" s="25">
        <f>ROUND(8.1555,5)</f>
        <v>8.1555</v>
      </c>
      <c r="G116" s="24"/>
      <c r="H116" s="36"/>
    </row>
    <row r="117" spans="1:8" ht="12.75" customHeight="1">
      <c r="A117" s="22">
        <v>42222</v>
      </c>
      <c r="B117" s="22"/>
      <c r="C117" s="25">
        <f>ROUND(8.04,5)</f>
        <v>8.04</v>
      </c>
      <c r="D117" s="25">
        <f>F117</f>
        <v>8.19941</v>
      </c>
      <c r="E117" s="25">
        <f>F117</f>
        <v>8.19941</v>
      </c>
      <c r="F117" s="25">
        <f>ROUND(8.19941,5)</f>
        <v>8.19941</v>
      </c>
      <c r="G117" s="24"/>
      <c r="H117" s="36"/>
    </row>
    <row r="118" spans="1:8" ht="12.75" customHeight="1">
      <c r="A118" s="22">
        <v>42313</v>
      </c>
      <c r="B118" s="22"/>
      <c r="C118" s="25">
        <f>ROUND(8.04,5)</f>
        <v>8.04</v>
      </c>
      <c r="D118" s="25">
        <f>F118</f>
        <v>8.22556</v>
      </c>
      <c r="E118" s="25">
        <f>F118</f>
        <v>8.22556</v>
      </c>
      <c r="F118" s="25">
        <f>ROUND(8.22556,5)</f>
        <v>8.22556</v>
      </c>
      <c r="G118" s="24"/>
      <c r="H118" s="36"/>
    </row>
    <row r="119" spans="1:8" ht="12.75" customHeight="1">
      <c r="A119" s="22">
        <v>42404</v>
      </c>
      <c r="B119" s="22"/>
      <c r="C119" s="25">
        <f>ROUND(8.04,5)</f>
        <v>8.04</v>
      </c>
      <c r="D119" s="25">
        <f>F119</f>
        <v>8.28834</v>
      </c>
      <c r="E119" s="25">
        <f>F119</f>
        <v>8.28834</v>
      </c>
      <c r="F119" s="25">
        <f>ROUND(8.28834,5)</f>
        <v>8.28834</v>
      </c>
      <c r="G119" s="24"/>
      <c r="H119" s="36"/>
    </row>
    <row r="120" spans="1:8" ht="12.75" customHeight="1">
      <c r="A120" s="22" t="s">
        <v>45</v>
      </c>
      <c r="B120" s="22"/>
      <c r="C120" s="23"/>
      <c r="D120" s="23"/>
      <c r="E120" s="23"/>
      <c r="F120" s="23"/>
      <c r="G120" s="24"/>
      <c r="H120" s="36"/>
    </row>
    <row r="121" spans="1:8" ht="12.75" customHeight="1">
      <c r="A121" s="22">
        <v>42040</v>
      </c>
      <c r="B121" s="22"/>
      <c r="C121" s="25">
        <f>ROUND(1.67,5)</f>
        <v>1.67</v>
      </c>
      <c r="D121" s="25">
        <f>F121</f>
        <v>288.49158</v>
      </c>
      <c r="E121" s="25">
        <f>F121</f>
        <v>288.49158</v>
      </c>
      <c r="F121" s="25">
        <f>ROUND(288.49158,5)</f>
        <v>288.49158</v>
      </c>
      <c r="G121" s="24"/>
      <c r="H121" s="36"/>
    </row>
    <row r="122" spans="1:8" ht="12.75" customHeight="1">
      <c r="A122" s="22">
        <v>42131</v>
      </c>
      <c r="B122" s="22"/>
      <c r="C122" s="25">
        <f>ROUND(1.67,5)</f>
        <v>1.67</v>
      </c>
      <c r="D122" s="25">
        <f>F122</f>
        <v>293.27204</v>
      </c>
      <c r="E122" s="25">
        <f>F122</f>
        <v>293.27204</v>
      </c>
      <c r="F122" s="25">
        <f>ROUND(293.27204,5)</f>
        <v>293.27204</v>
      </c>
      <c r="G122" s="24"/>
      <c r="H122" s="36"/>
    </row>
    <row r="123" spans="1:8" ht="12.75" customHeight="1">
      <c r="A123" s="22">
        <v>42222</v>
      </c>
      <c r="B123" s="22"/>
      <c r="C123" s="25">
        <f>ROUND(1.67,5)</f>
        <v>1.67</v>
      </c>
      <c r="D123" s="25">
        <f>F123</f>
        <v>292.22365</v>
      </c>
      <c r="E123" s="25">
        <f>F123</f>
        <v>292.22365</v>
      </c>
      <c r="F123" s="25">
        <f>ROUND(292.22365,5)</f>
        <v>292.22365</v>
      </c>
      <c r="G123" s="24"/>
      <c r="H123" s="36"/>
    </row>
    <row r="124" spans="1:8" ht="12.75" customHeight="1">
      <c r="A124" s="22">
        <v>42313</v>
      </c>
      <c r="B124" s="22"/>
      <c r="C124" s="25">
        <f>ROUND(1.67,5)</f>
        <v>1.67</v>
      </c>
      <c r="D124" s="25">
        <f>F124</f>
        <v>297.56364</v>
      </c>
      <c r="E124" s="25">
        <f>F124</f>
        <v>297.56364</v>
      </c>
      <c r="F124" s="25">
        <f>ROUND(297.56364,5)</f>
        <v>297.56364</v>
      </c>
      <c r="G124" s="24"/>
      <c r="H124" s="36"/>
    </row>
    <row r="125" spans="1:8" ht="12.75" customHeight="1">
      <c r="A125" s="22">
        <v>42404</v>
      </c>
      <c r="B125" s="22"/>
      <c r="C125" s="25">
        <f>ROUND(1.67,5)</f>
        <v>1.67</v>
      </c>
      <c r="D125" s="25">
        <f>F125</f>
        <v>302.39006</v>
      </c>
      <c r="E125" s="25">
        <f>F125</f>
        <v>302.39006</v>
      </c>
      <c r="F125" s="25">
        <f>ROUND(302.39006,5)</f>
        <v>302.39006</v>
      </c>
      <c r="G125" s="24"/>
      <c r="H125" s="36"/>
    </row>
    <row r="126" spans="1:8" ht="12.75" customHeight="1">
      <c r="A126" s="22" t="s">
        <v>46</v>
      </c>
      <c r="B126" s="22"/>
      <c r="C126" s="23"/>
      <c r="D126" s="23"/>
      <c r="E126" s="23"/>
      <c r="F126" s="23"/>
      <c r="G126" s="24"/>
      <c r="H126" s="36"/>
    </row>
    <row r="127" spans="1:8" ht="12.75" customHeight="1">
      <c r="A127" s="22">
        <v>42040</v>
      </c>
      <c r="B127" s="22"/>
      <c r="C127" s="25">
        <f>ROUND(1.75,5)</f>
        <v>1.75</v>
      </c>
      <c r="D127" s="25">
        <f>F127</f>
        <v>235.92763</v>
      </c>
      <c r="E127" s="25">
        <f>F127</f>
        <v>235.92763</v>
      </c>
      <c r="F127" s="25">
        <f>ROUND(235.92763,5)</f>
        <v>235.92763</v>
      </c>
      <c r="G127" s="24"/>
      <c r="H127" s="36"/>
    </row>
    <row r="128" spans="1:8" ht="12.75" customHeight="1">
      <c r="A128" s="22">
        <v>42131</v>
      </c>
      <c r="B128" s="22"/>
      <c r="C128" s="25">
        <f>ROUND(1.75,5)</f>
        <v>1.75</v>
      </c>
      <c r="D128" s="25">
        <f>F128</f>
        <v>239.83701</v>
      </c>
      <c r="E128" s="25">
        <f>F128</f>
        <v>239.83701</v>
      </c>
      <c r="F128" s="25">
        <f>ROUND(239.83701,5)</f>
        <v>239.83701</v>
      </c>
      <c r="G128" s="24"/>
      <c r="H128" s="36"/>
    </row>
    <row r="129" spans="1:8" ht="12.75" customHeight="1">
      <c r="A129" s="22">
        <v>42222</v>
      </c>
      <c r="B129" s="22"/>
      <c r="C129" s="25">
        <f>ROUND(1.75,5)</f>
        <v>1.75</v>
      </c>
      <c r="D129" s="25">
        <f>F129</f>
        <v>240.74555</v>
      </c>
      <c r="E129" s="25">
        <f>F129</f>
        <v>240.74555</v>
      </c>
      <c r="F129" s="25">
        <f>ROUND(240.74555,5)</f>
        <v>240.74555</v>
      </c>
      <c r="G129" s="24"/>
      <c r="H129" s="36"/>
    </row>
    <row r="130" spans="1:8" ht="12.75" customHeight="1">
      <c r="A130" s="22">
        <v>42313</v>
      </c>
      <c r="B130" s="22"/>
      <c r="C130" s="25">
        <f>ROUND(1.75,5)</f>
        <v>1.75</v>
      </c>
      <c r="D130" s="25">
        <f>F130</f>
        <v>245.14321</v>
      </c>
      <c r="E130" s="25">
        <f>F130</f>
        <v>245.14321</v>
      </c>
      <c r="F130" s="25">
        <f>ROUND(245.14321,5)</f>
        <v>245.14321</v>
      </c>
      <c r="G130" s="24"/>
      <c r="H130" s="36"/>
    </row>
    <row r="131" spans="1:8" ht="12.75" customHeight="1">
      <c r="A131" s="22">
        <v>42404</v>
      </c>
      <c r="B131" s="22"/>
      <c r="C131" s="25">
        <f>ROUND(1.75,5)</f>
        <v>1.75</v>
      </c>
      <c r="D131" s="25">
        <f>F131</f>
        <v>249.12066</v>
      </c>
      <c r="E131" s="25">
        <f>F131</f>
        <v>249.12066</v>
      </c>
      <c r="F131" s="25">
        <f>ROUND(249.12066,5)</f>
        <v>249.12066</v>
      </c>
      <c r="G131" s="24"/>
      <c r="H131" s="36"/>
    </row>
    <row r="132" spans="1:8" ht="12.75" customHeight="1">
      <c r="A132" s="22" t="s">
        <v>47</v>
      </c>
      <c r="B132" s="22"/>
      <c r="C132" s="23"/>
      <c r="D132" s="23"/>
      <c r="E132" s="23"/>
      <c r="F132" s="23"/>
      <c r="G132" s="24"/>
      <c r="H132" s="36"/>
    </row>
    <row r="133" spans="1:8" ht="12.75" customHeight="1">
      <c r="A133" s="22">
        <v>42040</v>
      </c>
      <c r="B133" s="22"/>
      <c r="C133" s="25">
        <f>ROUND(6.775,5)</f>
        <v>6.775</v>
      </c>
      <c r="D133" s="25">
        <f>F133</f>
        <v>6.84372</v>
      </c>
      <c r="E133" s="25">
        <f>F133</f>
        <v>6.84372</v>
      </c>
      <c r="F133" s="25">
        <f>ROUND(6.84372,5)</f>
        <v>6.84372</v>
      </c>
      <c r="G133" s="24"/>
      <c r="H133" s="36"/>
    </row>
    <row r="134" spans="1:8" ht="12.75" customHeight="1">
      <c r="A134" s="22">
        <v>42131</v>
      </c>
      <c r="B134" s="22"/>
      <c r="C134" s="25">
        <f>ROUND(6.775,5)</f>
        <v>6.775</v>
      </c>
      <c r="D134" s="25">
        <f>F134</f>
        <v>6.86413</v>
      </c>
      <c r="E134" s="25">
        <f>F134</f>
        <v>6.86413</v>
      </c>
      <c r="F134" s="25">
        <f>ROUND(6.86413,5)</f>
        <v>6.86413</v>
      </c>
      <c r="G134" s="24"/>
      <c r="H134" s="36"/>
    </row>
    <row r="135" spans="1:8" ht="12.75" customHeight="1">
      <c r="A135" s="22">
        <v>42222</v>
      </c>
      <c r="B135" s="22"/>
      <c r="C135" s="25">
        <f>ROUND(6.775,5)</f>
        <v>6.775</v>
      </c>
      <c r="D135" s="25">
        <f>F135</f>
        <v>6.84741</v>
      </c>
      <c r="E135" s="25">
        <f>F135</f>
        <v>6.84741</v>
      </c>
      <c r="F135" s="25">
        <f>ROUND(6.84741,5)</f>
        <v>6.84741</v>
      </c>
      <c r="G135" s="24"/>
      <c r="H135" s="36"/>
    </row>
    <row r="136" spans="1:8" ht="12.75" customHeight="1">
      <c r="A136" s="22">
        <v>42313</v>
      </c>
      <c r="B136" s="22"/>
      <c r="C136" s="25">
        <f>ROUND(6.775,5)</f>
        <v>6.775</v>
      </c>
      <c r="D136" s="25">
        <f>F136</f>
        <v>6.75963</v>
      </c>
      <c r="E136" s="25">
        <f>F136</f>
        <v>6.75963</v>
      </c>
      <c r="F136" s="25">
        <f>ROUND(6.75963,5)</f>
        <v>6.75963</v>
      </c>
      <c r="G136" s="24"/>
      <c r="H136" s="36"/>
    </row>
    <row r="137" spans="1:8" ht="12.75" customHeight="1">
      <c r="A137" s="22">
        <v>42404</v>
      </c>
      <c r="B137" s="22"/>
      <c r="C137" s="25">
        <f>ROUND(6.775,5)</f>
        <v>6.775</v>
      </c>
      <c r="D137" s="25">
        <f>F137</f>
        <v>6.80667</v>
      </c>
      <c r="E137" s="25">
        <f>F137</f>
        <v>6.80667</v>
      </c>
      <c r="F137" s="25">
        <f>ROUND(6.80667,5)</f>
        <v>6.80667</v>
      </c>
      <c r="G137" s="24"/>
      <c r="H137" s="36"/>
    </row>
    <row r="138" spans="1:8" ht="12.75" customHeight="1">
      <c r="A138" s="22" t="s">
        <v>48</v>
      </c>
      <c r="B138" s="22"/>
      <c r="C138" s="23"/>
      <c r="D138" s="23"/>
      <c r="E138" s="23"/>
      <c r="F138" s="23"/>
      <c r="G138" s="24"/>
      <c r="H138" s="36"/>
    </row>
    <row r="139" spans="1:8" ht="12.75" customHeight="1">
      <c r="A139" s="22">
        <v>42040</v>
      </c>
      <c r="B139" s="22"/>
      <c r="C139" s="25">
        <f>ROUND(7.08,5)</f>
        <v>7.08</v>
      </c>
      <c r="D139" s="25">
        <f>F139</f>
        <v>7.14675</v>
      </c>
      <c r="E139" s="25">
        <f>F139</f>
        <v>7.14675</v>
      </c>
      <c r="F139" s="25">
        <f>ROUND(7.14675,5)</f>
        <v>7.14675</v>
      </c>
      <c r="G139" s="24"/>
      <c r="H139" s="36"/>
    </row>
    <row r="140" spans="1:8" ht="12.75" customHeight="1">
      <c r="A140" s="22">
        <v>42131</v>
      </c>
      <c r="B140" s="22"/>
      <c r="C140" s="25">
        <f>ROUND(7.08,5)</f>
        <v>7.08</v>
      </c>
      <c r="D140" s="25">
        <f>F140</f>
        <v>7.18773</v>
      </c>
      <c r="E140" s="25">
        <f>F140</f>
        <v>7.18773</v>
      </c>
      <c r="F140" s="25">
        <f>ROUND(7.18773,5)</f>
        <v>7.18773</v>
      </c>
      <c r="G140" s="24"/>
      <c r="H140" s="36"/>
    </row>
    <row r="141" spans="1:8" ht="12.75" customHeight="1">
      <c r="A141" s="22">
        <v>42222</v>
      </c>
      <c r="B141" s="22"/>
      <c r="C141" s="25">
        <f>ROUND(7.08,5)</f>
        <v>7.08</v>
      </c>
      <c r="D141" s="25">
        <f>F141</f>
        <v>7.20937</v>
      </c>
      <c r="E141" s="25">
        <f>F141</f>
        <v>7.20937</v>
      </c>
      <c r="F141" s="25">
        <f>ROUND(7.20937,5)</f>
        <v>7.20937</v>
      </c>
      <c r="G141" s="24"/>
      <c r="H141" s="36"/>
    </row>
    <row r="142" spans="1:8" ht="12.75" customHeight="1">
      <c r="A142" s="22">
        <v>42313</v>
      </c>
      <c r="B142" s="22"/>
      <c r="C142" s="25">
        <f>ROUND(7.08,5)</f>
        <v>7.08</v>
      </c>
      <c r="D142" s="25">
        <f>F142</f>
        <v>7.1865</v>
      </c>
      <c r="E142" s="25">
        <f>F142</f>
        <v>7.1865</v>
      </c>
      <c r="F142" s="25">
        <f>ROUND(7.1865,5)</f>
        <v>7.1865</v>
      </c>
      <c r="G142" s="24"/>
      <c r="H142" s="36"/>
    </row>
    <row r="143" spans="1:8" ht="12.75" customHeight="1">
      <c r="A143" s="22">
        <v>42404</v>
      </c>
      <c r="B143" s="22"/>
      <c r="C143" s="25">
        <f>ROUND(7.08,5)</f>
        <v>7.08</v>
      </c>
      <c r="D143" s="25">
        <f>F143</f>
        <v>7.25208</v>
      </c>
      <c r="E143" s="25">
        <f>F143</f>
        <v>7.25208</v>
      </c>
      <c r="F143" s="25">
        <f>ROUND(7.25208,5)</f>
        <v>7.25208</v>
      </c>
      <c r="G143" s="24"/>
      <c r="H143" s="36"/>
    </row>
    <row r="144" spans="1:8" ht="12.75" customHeight="1">
      <c r="A144" s="22" t="s">
        <v>49</v>
      </c>
      <c r="B144" s="22"/>
      <c r="C144" s="23"/>
      <c r="D144" s="23"/>
      <c r="E144" s="23"/>
      <c r="F144" s="23"/>
      <c r="G144" s="24"/>
      <c r="H144" s="36"/>
    </row>
    <row r="145" spans="1:8" ht="12.75" customHeight="1">
      <c r="A145" s="22">
        <v>42040</v>
      </c>
      <c r="B145" s="22"/>
      <c r="C145" s="25">
        <f>ROUND(7.32,5)</f>
        <v>7.32</v>
      </c>
      <c r="D145" s="25">
        <f>F145</f>
        <v>7.3867</v>
      </c>
      <c r="E145" s="25">
        <f>F145</f>
        <v>7.3867</v>
      </c>
      <c r="F145" s="25">
        <f>ROUND(7.3867,5)</f>
        <v>7.3867</v>
      </c>
      <c r="G145" s="24"/>
      <c r="H145" s="36"/>
    </row>
    <row r="146" spans="1:8" ht="12.75" customHeight="1">
      <c r="A146" s="22">
        <v>42131</v>
      </c>
      <c r="B146" s="22"/>
      <c r="C146" s="25">
        <f>ROUND(7.32,5)</f>
        <v>7.32</v>
      </c>
      <c r="D146" s="25">
        <f>F146</f>
        <v>7.43675</v>
      </c>
      <c r="E146" s="25">
        <f>F146</f>
        <v>7.43675</v>
      </c>
      <c r="F146" s="25">
        <f>ROUND(7.43675,5)</f>
        <v>7.43675</v>
      </c>
      <c r="G146" s="24"/>
      <c r="H146" s="36"/>
    </row>
    <row r="147" spans="1:8" ht="12.75" customHeight="1">
      <c r="A147" s="22">
        <v>42222</v>
      </c>
      <c r="B147" s="22"/>
      <c r="C147" s="25">
        <f>ROUND(7.32,5)</f>
        <v>7.32</v>
      </c>
      <c r="D147" s="25">
        <f>F147</f>
        <v>7.47247</v>
      </c>
      <c r="E147" s="25">
        <f>F147</f>
        <v>7.47247</v>
      </c>
      <c r="F147" s="25">
        <f>ROUND(7.47247,5)</f>
        <v>7.47247</v>
      </c>
      <c r="G147" s="24"/>
      <c r="H147" s="36"/>
    </row>
    <row r="148" spans="1:8" ht="12.75" customHeight="1">
      <c r="A148" s="22">
        <v>42313</v>
      </c>
      <c r="B148" s="22"/>
      <c r="C148" s="25">
        <f>ROUND(7.32,5)</f>
        <v>7.32</v>
      </c>
      <c r="D148" s="25">
        <f>F148</f>
        <v>7.47006</v>
      </c>
      <c r="E148" s="25">
        <f>F148</f>
        <v>7.47006</v>
      </c>
      <c r="F148" s="25">
        <f>ROUND(7.47006,5)</f>
        <v>7.47006</v>
      </c>
      <c r="G148" s="24"/>
      <c r="H148" s="36"/>
    </row>
    <row r="149" spans="1:8" ht="12.75" customHeight="1">
      <c r="A149" s="22">
        <v>42404</v>
      </c>
      <c r="B149" s="22"/>
      <c r="C149" s="25">
        <f>ROUND(7.32,5)</f>
        <v>7.32</v>
      </c>
      <c r="D149" s="25">
        <f>F149</f>
        <v>7.5387</v>
      </c>
      <c r="E149" s="25">
        <f>F149</f>
        <v>7.5387</v>
      </c>
      <c r="F149" s="25">
        <f>ROUND(7.5387,5)</f>
        <v>7.5387</v>
      </c>
      <c r="G149" s="24"/>
      <c r="H149" s="36"/>
    </row>
    <row r="150" spans="1:8" ht="12.75" customHeight="1">
      <c r="A150" s="22" t="s">
        <v>50</v>
      </c>
      <c r="B150" s="22"/>
      <c r="C150" s="23"/>
      <c r="D150" s="23"/>
      <c r="E150" s="23"/>
      <c r="F150" s="23"/>
      <c r="G150" s="24"/>
      <c r="H150" s="36"/>
    </row>
    <row r="151" spans="1:8" ht="12.75" customHeight="1">
      <c r="A151" s="22">
        <v>42040</v>
      </c>
      <c r="B151" s="22"/>
      <c r="C151" s="25">
        <f>ROUND(7.5,5)</f>
        <v>7.5</v>
      </c>
      <c r="D151" s="25">
        <f>F151</f>
        <v>7.5663</v>
      </c>
      <c r="E151" s="25">
        <f>F151</f>
        <v>7.5663</v>
      </c>
      <c r="F151" s="25">
        <f>ROUND(7.5663,5)</f>
        <v>7.5663</v>
      </c>
      <c r="G151" s="24"/>
      <c r="H151" s="36"/>
    </row>
    <row r="152" spans="1:8" ht="12.75" customHeight="1">
      <c r="A152" s="22">
        <v>42131</v>
      </c>
      <c r="B152" s="22"/>
      <c r="C152" s="25">
        <f>ROUND(7.5,5)</f>
        <v>7.5</v>
      </c>
      <c r="D152" s="25">
        <f>F152</f>
        <v>7.61388</v>
      </c>
      <c r="E152" s="25">
        <f>F152</f>
        <v>7.61388</v>
      </c>
      <c r="F152" s="25">
        <f>ROUND(7.61388,5)</f>
        <v>7.61388</v>
      </c>
      <c r="G152" s="24"/>
      <c r="H152" s="36"/>
    </row>
    <row r="153" spans="1:8" ht="12.75" customHeight="1">
      <c r="A153" s="22">
        <v>42222</v>
      </c>
      <c r="B153" s="22"/>
      <c r="C153" s="25">
        <f>ROUND(7.5,5)</f>
        <v>7.5</v>
      </c>
      <c r="D153" s="25">
        <f>F153</f>
        <v>7.64974</v>
      </c>
      <c r="E153" s="25">
        <f>F153</f>
        <v>7.64974</v>
      </c>
      <c r="F153" s="25">
        <f>ROUND(7.64974,5)</f>
        <v>7.64974</v>
      </c>
      <c r="G153" s="24"/>
      <c r="H153" s="36"/>
    </row>
    <row r="154" spans="1:8" ht="12.75" customHeight="1">
      <c r="A154" s="22">
        <v>42313</v>
      </c>
      <c r="B154" s="22"/>
      <c r="C154" s="25">
        <f>ROUND(7.5,5)</f>
        <v>7.5</v>
      </c>
      <c r="D154" s="25">
        <f>F154</f>
        <v>7.66006</v>
      </c>
      <c r="E154" s="25">
        <f>F154</f>
        <v>7.66006</v>
      </c>
      <c r="F154" s="25">
        <f>ROUND(7.66006,5)</f>
        <v>7.66006</v>
      </c>
      <c r="G154" s="24"/>
      <c r="H154" s="36"/>
    </row>
    <row r="155" spans="1:8" ht="12.75" customHeight="1">
      <c r="A155" s="22">
        <v>42404</v>
      </c>
      <c r="B155" s="22"/>
      <c r="C155" s="25">
        <f>ROUND(7.5,5)</f>
        <v>7.5</v>
      </c>
      <c r="D155" s="25">
        <f>F155</f>
        <v>7.72622</v>
      </c>
      <c r="E155" s="25">
        <f>F155</f>
        <v>7.72622</v>
      </c>
      <c r="F155" s="25">
        <f>ROUND(7.72622,5)</f>
        <v>7.72622</v>
      </c>
      <c r="G155" s="24"/>
      <c r="H155" s="36"/>
    </row>
    <row r="156" spans="1:8" ht="12.75" customHeight="1">
      <c r="A156" s="22" t="s">
        <v>51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42040</v>
      </c>
      <c r="B157" s="22"/>
      <c r="C157" s="25">
        <f>ROUND(8.64,5)</f>
        <v>8.64</v>
      </c>
      <c r="D157" s="25">
        <f>F157</f>
        <v>8.69908</v>
      </c>
      <c r="E157" s="25">
        <f>F157</f>
        <v>8.69908</v>
      </c>
      <c r="F157" s="25">
        <f>ROUND(8.69908,5)</f>
        <v>8.69908</v>
      </c>
      <c r="G157" s="24"/>
      <c r="H157" s="36"/>
    </row>
    <row r="158" spans="1:8" ht="12.75" customHeight="1">
      <c r="A158" s="22">
        <v>42131</v>
      </c>
      <c r="B158" s="22"/>
      <c r="C158" s="25">
        <f>ROUND(8.64,5)</f>
        <v>8.64</v>
      </c>
      <c r="D158" s="25">
        <f>F158</f>
        <v>8.74882</v>
      </c>
      <c r="E158" s="25">
        <f>F158</f>
        <v>8.74882</v>
      </c>
      <c r="F158" s="25">
        <f>ROUND(8.74882,5)</f>
        <v>8.74882</v>
      </c>
      <c r="G158" s="24"/>
      <c r="H158" s="36"/>
    </row>
    <row r="159" spans="1:8" ht="12.75" customHeight="1">
      <c r="A159" s="22">
        <v>42222</v>
      </c>
      <c r="B159" s="22"/>
      <c r="C159" s="25">
        <f>ROUND(8.64,5)</f>
        <v>8.64</v>
      </c>
      <c r="D159" s="25">
        <f>F159</f>
        <v>8.79298</v>
      </c>
      <c r="E159" s="25">
        <f>F159</f>
        <v>8.79298</v>
      </c>
      <c r="F159" s="25">
        <f>ROUND(8.79298,5)</f>
        <v>8.79298</v>
      </c>
      <c r="G159" s="24"/>
      <c r="H159" s="36"/>
    </row>
    <row r="160" spans="1:8" ht="12.75" customHeight="1">
      <c r="A160" s="22">
        <v>42313</v>
      </c>
      <c r="B160" s="22"/>
      <c r="C160" s="25">
        <f>ROUND(8.64,5)</f>
        <v>8.64</v>
      </c>
      <c r="D160" s="25">
        <f>F160</f>
        <v>8.82515</v>
      </c>
      <c r="E160" s="25">
        <f>F160</f>
        <v>8.82515</v>
      </c>
      <c r="F160" s="25">
        <f>ROUND(8.82515,5)</f>
        <v>8.82515</v>
      </c>
      <c r="G160" s="24"/>
      <c r="H160" s="36"/>
    </row>
    <row r="161" spans="1:8" ht="12.75" customHeight="1">
      <c r="A161" s="22">
        <v>42404</v>
      </c>
      <c r="B161" s="22"/>
      <c r="C161" s="25">
        <f>ROUND(8.64,5)</f>
        <v>8.64</v>
      </c>
      <c r="D161" s="25">
        <f>F161</f>
        <v>8.88211</v>
      </c>
      <c r="E161" s="25">
        <f>F161</f>
        <v>8.88211</v>
      </c>
      <c r="F161" s="25">
        <f>ROUND(8.88211,5)</f>
        <v>8.88211</v>
      </c>
      <c r="G161" s="24"/>
      <c r="H161" s="36"/>
    </row>
    <row r="162" spans="1:8" ht="12.75" customHeight="1">
      <c r="A162" s="22" t="s">
        <v>52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42040</v>
      </c>
      <c r="B163" s="22"/>
      <c r="C163" s="25">
        <f>ROUND(1.64,5)</f>
        <v>1.64</v>
      </c>
      <c r="D163" s="25">
        <f>F163</f>
        <v>178.39909</v>
      </c>
      <c r="E163" s="25">
        <f>F163</f>
        <v>178.39909</v>
      </c>
      <c r="F163" s="25">
        <f>ROUND(178.39909,5)</f>
        <v>178.39909</v>
      </c>
      <c r="G163" s="24"/>
      <c r="H163" s="36"/>
    </row>
    <row r="164" spans="1:8" ht="12.75" customHeight="1">
      <c r="A164" s="22">
        <v>42131</v>
      </c>
      <c r="B164" s="22"/>
      <c r="C164" s="25">
        <f>ROUND(1.64,5)</f>
        <v>1.64</v>
      </c>
      <c r="D164" s="25">
        <f>F164</f>
        <v>179.27718</v>
      </c>
      <c r="E164" s="25">
        <f>F164</f>
        <v>179.27718</v>
      </c>
      <c r="F164" s="25">
        <f>ROUND(179.27718,5)</f>
        <v>179.27718</v>
      </c>
      <c r="G164" s="24"/>
      <c r="H164" s="36"/>
    </row>
    <row r="165" spans="1:8" ht="12.75" customHeight="1">
      <c r="A165" s="22">
        <v>42222</v>
      </c>
      <c r="B165" s="22"/>
      <c r="C165" s="25">
        <f>ROUND(1.64,5)</f>
        <v>1.64</v>
      </c>
      <c r="D165" s="25">
        <f>F165</f>
        <v>182.40317</v>
      </c>
      <c r="E165" s="25">
        <f>F165</f>
        <v>182.40317</v>
      </c>
      <c r="F165" s="25">
        <f>ROUND(182.40317,5)</f>
        <v>182.40317</v>
      </c>
      <c r="G165" s="24"/>
      <c r="H165" s="36"/>
    </row>
    <row r="166" spans="1:8" ht="12.75" customHeight="1">
      <c r="A166" s="22">
        <v>42313</v>
      </c>
      <c r="B166" s="22"/>
      <c r="C166" s="25">
        <f>ROUND(1.64,5)</f>
        <v>1.64</v>
      </c>
      <c r="D166" s="25">
        <f>F166</f>
        <v>185.73398</v>
      </c>
      <c r="E166" s="25">
        <f>F166</f>
        <v>185.73398</v>
      </c>
      <c r="F166" s="25">
        <f>ROUND(185.73398,5)</f>
        <v>185.73398</v>
      </c>
      <c r="G166" s="24"/>
      <c r="H166" s="36"/>
    </row>
    <row r="167" spans="1:8" ht="12.75" customHeight="1">
      <c r="A167" s="22">
        <v>42404</v>
      </c>
      <c r="B167" s="22"/>
      <c r="C167" s="25">
        <f>ROUND(1.64,5)</f>
        <v>1.64</v>
      </c>
      <c r="D167" s="25">
        <f>F167</f>
        <v>188.74838</v>
      </c>
      <c r="E167" s="25">
        <f>F167</f>
        <v>188.74838</v>
      </c>
      <c r="F167" s="25">
        <f>ROUND(188.74838,5)</f>
        <v>188.74838</v>
      </c>
      <c r="G167" s="24"/>
      <c r="H167" s="36"/>
    </row>
    <row r="168" spans="1:8" ht="12.75" customHeight="1">
      <c r="A168" s="22" t="s">
        <v>53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42040</v>
      </c>
      <c r="B169" s="22"/>
      <c r="C169" s="25">
        <f>ROUND(0.83,5)</f>
        <v>0.83</v>
      </c>
      <c r="D169" s="25">
        <f>F169</f>
        <v>133.0258</v>
      </c>
      <c r="E169" s="25">
        <f>F169</f>
        <v>133.0258</v>
      </c>
      <c r="F169" s="25">
        <f>ROUND(133.0258,5)</f>
        <v>133.0258</v>
      </c>
      <c r="G169" s="24"/>
      <c r="H169" s="36"/>
    </row>
    <row r="170" spans="1:8" ht="12.75" customHeight="1">
      <c r="A170" s="22">
        <v>42131</v>
      </c>
      <c r="B170" s="22"/>
      <c r="C170" s="25">
        <f>ROUND(0.83,5)</f>
        <v>0.83</v>
      </c>
      <c r="D170" s="25">
        <f>F170</f>
        <v>135.2304</v>
      </c>
      <c r="E170" s="25">
        <f>F170</f>
        <v>135.2304</v>
      </c>
      <c r="F170" s="25">
        <f>ROUND(135.2304,5)</f>
        <v>135.2304</v>
      </c>
      <c r="G170" s="24"/>
      <c r="H170" s="36"/>
    </row>
    <row r="171" spans="1:8" ht="12.75" customHeight="1">
      <c r="A171" s="22">
        <v>42222</v>
      </c>
      <c r="B171" s="22"/>
      <c r="C171" s="25">
        <f>ROUND(0.83,5)</f>
        <v>0.83</v>
      </c>
      <c r="D171" s="25">
        <f>F171</f>
        <v>137.535</v>
      </c>
      <c r="E171" s="25">
        <f>F171</f>
        <v>137.535</v>
      </c>
      <c r="F171" s="25">
        <f>ROUND(137.535,5)</f>
        <v>137.535</v>
      </c>
      <c r="G171" s="24"/>
      <c r="H171" s="36"/>
    </row>
    <row r="172" spans="1:8" ht="12.75" customHeight="1">
      <c r="A172" s="22">
        <v>42313</v>
      </c>
      <c r="B172" s="22"/>
      <c r="C172" s="25">
        <f>ROUND(0.83,5)</f>
        <v>0.83</v>
      </c>
      <c r="D172" s="25">
        <f>F172</f>
        <v>140.04619</v>
      </c>
      <c r="E172" s="25">
        <f>F172</f>
        <v>140.04619</v>
      </c>
      <c r="F172" s="25">
        <f>ROUND(140.04619,5)</f>
        <v>140.04619</v>
      </c>
      <c r="G172" s="24"/>
      <c r="H172" s="36"/>
    </row>
    <row r="173" spans="1:8" ht="12.75" customHeight="1">
      <c r="A173" s="22">
        <v>42404</v>
      </c>
      <c r="B173" s="22"/>
      <c r="C173" s="25">
        <f>ROUND(0.83,5)</f>
        <v>0.83</v>
      </c>
      <c r="D173" s="25">
        <f>F173</f>
        <v>142.31932</v>
      </c>
      <c r="E173" s="25">
        <f>F173</f>
        <v>142.31932</v>
      </c>
      <c r="F173" s="25">
        <f>ROUND(142.31932,5)</f>
        <v>142.31932</v>
      </c>
      <c r="G173" s="24"/>
      <c r="H173" s="36"/>
    </row>
    <row r="174" spans="1:8" ht="12.75" customHeight="1">
      <c r="A174" s="22" t="s">
        <v>54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42040</v>
      </c>
      <c r="B175" s="22"/>
      <c r="C175" s="25">
        <f>ROUND(1.6,5)</f>
        <v>1.6</v>
      </c>
      <c r="D175" s="25">
        <f>F175</f>
        <v>138.00621</v>
      </c>
      <c r="E175" s="25">
        <f>F175</f>
        <v>138.00621</v>
      </c>
      <c r="F175" s="25">
        <f>ROUND(138.00621,5)</f>
        <v>138.00621</v>
      </c>
      <c r="G175" s="24"/>
      <c r="H175" s="36"/>
    </row>
    <row r="176" spans="1:8" ht="12.75" customHeight="1">
      <c r="A176" s="22">
        <v>42131</v>
      </c>
      <c r="B176" s="22"/>
      <c r="C176" s="25">
        <f>ROUND(1.6,5)</f>
        <v>1.6</v>
      </c>
      <c r="D176" s="25">
        <f>F176</f>
        <v>140.29342</v>
      </c>
      <c r="E176" s="25">
        <f>F176</f>
        <v>140.29342</v>
      </c>
      <c r="F176" s="25">
        <f>ROUND(140.29342,5)</f>
        <v>140.29342</v>
      </c>
      <c r="G176" s="24"/>
      <c r="H176" s="36"/>
    </row>
    <row r="177" spans="1:8" ht="12.75" customHeight="1">
      <c r="A177" s="22">
        <v>42222</v>
      </c>
      <c r="B177" s="22"/>
      <c r="C177" s="25">
        <f>ROUND(1.6,5)</f>
        <v>1.6</v>
      </c>
      <c r="D177" s="25">
        <f>F177</f>
        <v>142.68115</v>
      </c>
      <c r="E177" s="25">
        <f>F177</f>
        <v>142.68115</v>
      </c>
      <c r="F177" s="25">
        <f>ROUND(142.68115,5)</f>
        <v>142.68115</v>
      </c>
      <c r="G177" s="24"/>
      <c r="H177" s="36"/>
    </row>
    <row r="178" spans="1:8" ht="12.75" customHeight="1">
      <c r="A178" s="22">
        <v>42313</v>
      </c>
      <c r="B178" s="22"/>
      <c r="C178" s="25">
        <f>ROUND(1.6,5)</f>
        <v>1.6</v>
      </c>
      <c r="D178" s="25">
        <f>F178</f>
        <v>145.28633</v>
      </c>
      <c r="E178" s="25">
        <f>F178</f>
        <v>145.28633</v>
      </c>
      <c r="F178" s="25">
        <f>ROUND(145.28633,5)</f>
        <v>145.28633</v>
      </c>
      <c r="G178" s="24"/>
      <c r="H178" s="36"/>
    </row>
    <row r="179" spans="1:8" ht="12.75" customHeight="1">
      <c r="A179" s="22">
        <v>42404</v>
      </c>
      <c r="B179" s="22"/>
      <c r="C179" s="25">
        <f>ROUND(1.6,5)</f>
        <v>1.6</v>
      </c>
      <c r="D179" s="25">
        <f>F179</f>
        <v>147.64449</v>
      </c>
      <c r="E179" s="25">
        <f>F179</f>
        <v>147.64449</v>
      </c>
      <c r="F179" s="25">
        <f>ROUND(147.64449,5)</f>
        <v>147.64449</v>
      </c>
      <c r="G179" s="24"/>
      <c r="H179" s="36"/>
    </row>
    <row r="180" spans="1:8" ht="12.75" customHeight="1">
      <c r="A180" s="22" t="s">
        <v>55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42040</v>
      </c>
      <c r="B181" s="22"/>
      <c r="C181" s="25">
        <f>ROUND(8.49,5)</f>
        <v>8.49</v>
      </c>
      <c r="D181" s="25">
        <f>F181</f>
        <v>8.55483</v>
      </c>
      <c r="E181" s="25">
        <f>F181</f>
        <v>8.55483</v>
      </c>
      <c r="F181" s="25">
        <f>ROUND(8.55483,5)</f>
        <v>8.55483</v>
      </c>
      <c r="G181" s="24"/>
      <c r="H181" s="36"/>
    </row>
    <row r="182" spans="1:8" ht="12.75" customHeight="1">
      <c r="A182" s="22">
        <v>42131</v>
      </c>
      <c r="B182" s="22"/>
      <c r="C182" s="25">
        <f>ROUND(8.49,5)</f>
        <v>8.49</v>
      </c>
      <c r="D182" s="25">
        <f>F182</f>
        <v>8.6059</v>
      </c>
      <c r="E182" s="25">
        <f>F182</f>
        <v>8.6059</v>
      </c>
      <c r="F182" s="25">
        <f>ROUND(8.6059,5)</f>
        <v>8.6059</v>
      </c>
      <c r="G182" s="24"/>
      <c r="H182" s="36"/>
    </row>
    <row r="183" spans="1:8" ht="12.75" customHeight="1">
      <c r="A183" s="22">
        <v>42222</v>
      </c>
      <c r="B183" s="22"/>
      <c r="C183" s="25">
        <f>ROUND(8.49,5)</f>
        <v>8.49</v>
      </c>
      <c r="D183" s="25">
        <f>F183</f>
        <v>8.65139</v>
      </c>
      <c r="E183" s="25">
        <f>F183</f>
        <v>8.65139</v>
      </c>
      <c r="F183" s="25">
        <f>ROUND(8.65139,5)</f>
        <v>8.65139</v>
      </c>
      <c r="G183" s="24"/>
      <c r="H183" s="36"/>
    </row>
    <row r="184" spans="1:8" ht="12.75" customHeight="1">
      <c r="A184" s="22">
        <v>42313</v>
      </c>
      <c r="B184" s="22"/>
      <c r="C184" s="25">
        <f>ROUND(8.49,5)</f>
        <v>8.49</v>
      </c>
      <c r="D184" s="25">
        <f>F184</f>
        <v>8.68584</v>
      </c>
      <c r="E184" s="25">
        <f>F184</f>
        <v>8.68584</v>
      </c>
      <c r="F184" s="25">
        <f>ROUND(8.68584,5)</f>
        <v>8.68584</v>
      </c>
      <c r="G184" s="24"/>
      <c r="H184" s="36"/>
    </row>
    <row r="185" spans="1:8" ht="12.75" customHeight="1">
      <c r="A185" s="22">
        <v>42404</v>
      </c>
      <c r="B185" s="22"/>
      <c r="C185" s="25">
        <f>ROUND(8.49,5)</f>
        <v>8.49</v>
      </c>
      <c r="D185" s="25">
        <f>F185</f>
        <v>8.75057</v>
      </c>
      <c r="E185" s="25">
        <f>F185</f>
        <v>8.75057</v>
      </c>
      <c r="F185" s="25">
        <f>ROUND(8.75057,5)</f>
        <v>8.75057</v>
      </c>
      <c r="G185" s="24"/>
      <c r="H185" s="36"/>
    </row>
    <row r="186" spans="1:8" ht="12.75" customHeight="1">
      <c r="A186" s="22" t="s">
        <v>56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42040</v>
      </c>
      <c r="B187" s="22"/>
      <c r="C187" s="25">
        <f>ROUND(8.74,5)</f>
        <v>8.74</v>
      </c>
      <c r="D187" s="25">
        <f>F187</f>
        <v>8.80046</v>
      </c>
      <c r="E187" s="25">
        <f>F187</f>
        <v>8.80046</v>
      </c>
      <c r="F187" s="25">
        <f>ROUND(8.80046,5)</f>
        <v>8.80046</v>
      </c>
      <c r="G187" s="24"/>
      <c r="H187" s="36"/>
    </row>
    <row r="188" spans="1:8" ht="12.75" customHeight="1">
      <c r="A188" s="22">
        <v>42131</v>
      </c>
      <c r="B188" s="22"/>
      <c r="C188" s="25">
        <f>ROUND(8.74,5)</f>
        <v>8.74</v>
      </c>
      <c r="D188" s="25">
        <f>F188</f>
        <v>8.84896</v>
      </c>
      <c r="E188" s="25">
        <f>F188</f>
        <v>8.84896</v>
      </c>
      <c r="F188" s="25">
        <f>ROUND(8.84896,5)</f>
        <v>8.84896</v>
      </c>
      <c r="G188" s="24"/>
      <c r="H188" s="36"/>
    </row>
    <row r="189" spans="1:8" ht="12.75" customHeight="1">
      <c r="A189" s="22">
        <v>42222</v>
      </c>
      <c r="B189" s="22"/>
      <c r="C189" s="25">
        <f>ROUND(8.74,5)</f>
        <v>8.74</v>
      </c>
      <c r="D189" s="25">
        <f>F189</f>
        <v>8.89273</v>
      </c>
      <c r="E189" s="25">
        <f>F189</f>
        <v>8.89273</v>
      </c>
      <c r="F189" s="25">
        <f>ROUND(8.89273,5)</f>
        <v>8.89273</v>
      </c>
      <c r="G189" s="24"/>
      <c r="H189" s="36"/>
    </row>
    <row r="190" spans="1:8" ht="12.75" customHeight="1">
      <c r="A190" s="22">
        <v>42313</v>
      </c>
      <c r="B190" s="22"/>
      <c r="C190" s="25">
        <f>ROUND(8.74,5)</f>
        <v>8.74</v>
      </c>
      <c r="D190" s="25">
        <f>F190</f>
        <v>8.92696</v>
      </c>
      <c r="E190" s="25">
        <f>F190</f>
        <v>8.92696</v>
      </c>
      <c r="F190" s="25">
        <f>ROUND(8.92696,5)</f>
        <v>8.92696</v>
      </c>
      <c r="G190" s="24"/>
      <c r="H190" s="36"/>
    </row>
    <row r="191" spans="1:8" ht="12.75" customHeight="1">
      <c r="A191" s="22">
        <v>42404</v>
      </c>
      <c r="B191" s="22"/>
      <c r="C191" s="25">
        <f>ROUND(8.74,5)</f>
        <v>8.74</v>
      </c>
      <c r="D191" s="25">
        <f>F191</f>
        <v>8.98644</v>
      </c>
      <c r="E191" s="25">
        <f>F191</f>
        <v>8.98644</v>
      </c>
      <c r="F191" s="25">
        <f>ROUND(8.98644,5)</f>
        <v>8.98644</v>
      </c>
      <c r="G191" s="24"/>
      <c r="H191" s="36"/>
    </row>
    <row r="192" spans="1:8" ht="12.75" customHeight="1">
      <c r="A192" s="22" t="s">
        <v>57</v>
      </c>
      <c r="B192" s="22"/>
      <c r="C192" s="23"/>
      <c r="D192" s="23"/>
      <c r="E192" s="23"/>
      <c r="F192" s="23"/>
      <c r="G192" s="24"/>
      <c r="H192" s="36"/>
    </row>
    <row r="193" spans="1:8" ht="12.75" customHeight="1">
      <c r="A193" s="22">
        <v>42040</v>
      </c>
      <c r="B193" s="22"/>
      <c r="C193" s="25">
        <f>ROUND(8.795,5)</f>
        <v>8.795</v>
      </c>
      <c r="D193" s="25">
        <f>F193</f>
        <v>8.85698</v>
      </c>
      <c r="E193" s="25">
        <f>F193</f>
        <v>8.85698</v>
      </c>
      <c r="F193" s="25">
        <f>ROUND(8.85698,5)</f>
        <v>8.85698</v>
      </c>
      <c r="G193" s="24"/>
      <c r="H193" s="36"/>
    </row>
    <row r="194" spans="1:8" ht="12.75" customHeight="1">
      <c r="A194" s="22">
        <v>42131</v>
      </c>
      <c r="B194" s="22"/>
      <c r="C194" s="25">
        <f>ROUND(8.795,5)</f>
        <v>8.795</v>
      </c>
      <c r="D194" s="25">
        <f>F194</f>
        <v>8.90695</v>
      </c>
      <c r="E194" s="25">
        <f>F194</f>
        <v>8.90695</v>
      </c>
      <c r="F194" s="25">
        <f>ROUND(8.90695,5)</f>
        <v>8.90695</v>
      </c>
      <c r="G194" s="24"/>
      <c r="H194" s="36"/>
    </row>
    <row r="195" spans="1:8" ht="12.75" customHeight="1">
      <c r="A195" s="22">
        <v>42222</v>
      </c>
      <c r="B195" s="22"/>
      <c r="C195" s="25">
        <f>ROUND(8.795,5)</f>
        <v>8.795</v>
      </c>
      <c r="D195" s="25">
        <f>F195</f>
        <v>8.95226</v>
      </c>
      <c r="E195" s="25">
        <f>F195</f>
        <v>8.95226</v>
      </c>
      <c r="F195" s="25">
        <f>ROUND(8.95226,5)</f>
        <v>8.95226</v>
      </c>
      <c r="G195" s="24"/>
      <c r="H195" s="36"/>
    </row>
    <row r="196" spans="1:8" ht="12.75" customHeight="1">
      <c r="A196" s="22">
        <v>42313</v>
      </c>
      <c r="B196" s="22"/>
      <c r="C196" s="25">
        <f>ROUND(8.795,5)</f>
        <v>8.795</v>
      </c>
      <c r="D196" s="25">
        <f>F196</f>
        <v>8.98796</v>
      </c>
      <c r="E196" s="25">
        <f>F196</f>
        <v>8.98796</v>
      </c>
      <c r="F196" s="25">
        <f>ROUND(8.98796,5)</f>
        <v>8.98796</v>
      </c>
      <c r="G196" s="24"/>
      <c r="H196" s="36"/>
    </row>
    <row r="197" spans="1:8" ht="12.75" customHeight="1">
      <c r="A197" s="22">
        <v>42404</v>
      </c>
      <c r="B197" s="22"/>
      <c r="C197" s="25">
        <f>ROUND(8.795,5)</f>
        <v>8.795</v>
      </c>
      <c r="D197" s="25">
        <f>F197</f>
        <v>9.04913</v>
      </c>
      <c r="E197" s="25">
        <f>F197</f>
        <v>9.04913</v>
      </c>
      <c r="F197" s="25">
        <f>ROUND(9.04913,5)</f>
        <v>9.04913</v>
      </c>
      <c r="G197" s="24"/>
      <c r="H197" s="36"/>
    </row>
    <row r="198" spans="1:8" ht="12.75" customHeight="1">
      <c r="A198" s="22" t="s">
        <v>58</v>
      </c>
      <c r="B198" s="22"/>
      <c r="C198" s="23"/>
      <c r="D198" s="23"/>
      <c r="E198" s="23"/>
      <c r="F198" s="23"/>
      <c r="G198" s="24"/>
      <c r="H198" s="36"/>
    </row>
    <row r="199" spans="1:8" ht="12.75" customHeight="1">
      <c r="A199" s="22">
        <v>41985</v>
      </c>
      <c r="B199" s="22"/>
      <c r="C199" s="27">
        <f>ROUND(-19.3852357719589,4)</f>
        <v>-19.3852</v>
      </c>
      <c r="D199" s="27">
        <f>F199</f>
        <v>-19.5031</v>
      </c>
      <c r="E199" s="27">
        <f>F199</f>
        <v>-19.5031</v>
      </c>
      <c r="F199" s="27">
        <f>ROUND(-19.5031,4)</f>
        <v>-19.5031</v>
      </c>
      <c r="G199" s="24"/>
      <c r="H199" s="36"/>
    </row>
    <row r="200" spans="1:8" ht="12.75" customHeight="1">
      <c r="A200" s="22" t="s">
        <v>59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41985</v>
      </c>
      <c r="B201" s="22"/>
      <c r="C201" s="27">
        <f>ROUND(1171.06232606617,4)</f>
        <v>1171.0623</v>
      </c>
      <c r="D201" s="27">
        <f>F201</f>
        <v>1178.1829</v>
      </c>
      <c r="E201" s="27">
        <f>F201</f>
        <v>1178.1829</v>
      </c>
      <c r="F201" s="27">
        <f>ROUND(1178.1829,4)</f>
        <v>1178.1829</v>
      </c>
      <c r="G201" s="24"/>
      <c r="H201" s="36"/>
    </row>
    <row r="202" spans="1:8" ht="12.75" customHeight="1">
      <c r="A202" s="22" t="s">
        <v>60</v>
      </c>
      <c r="B202" s="22"/>
      <c r="C202" s="23"/>
      <c r="D202" s="23"/>
      <c r="E202" s="23"/>
      <c r="F202" s="23"/>
      <c r="G202" s="24"/>
      <c r="H202" s="36"/>
    </row>
    <row r="203" spans="1:8" ht="12.75" customHeight="1">
      <c r="A203" s="22">
        <v>41985</v>
      </c>
      <c r="B203" s="22"/>
      <c r="C203" s="27">
        <f>ROUND(1072.10247596065,4)</f>
        <v>1072.1025</v>
      </c>
      <c r="D203" s="27">
        <f>F203</f>
        <v>1078.6214</v>
      </c>
      <c r="E203" s="27">
        <f>F203</f>
        <v>1078.6214</v>
      </c>
      <c r="F203" s="27">
        <f>ROUND(1078.6214,4)</f>
        <v>1078.6214</v>
      </c>
      <c r="G203" s="24"/>
      <c r="H203" s="36"/>
    </row>
    <row r="204" spans="1:8" ht="12.75" customHeight="1">
      <c r="A204" s="22" t="s">
        <v>61</v>
      </c>
      <c r="B204" s="22"/>
      <c r="C204" s="23"/>
      <c r="D204" s="23"/>
      <c r="E204" s="23"/>
      <c r="F204" s="23"/>
      <c r="G204" s="24"/>
      <c r="H204" s="36"/>
    </row>
    <row r="205" spans="1:8" ht="12.75" customHeight="1">
      <c r="A205" s="22">
        <v>41985</v>
      </c>
      <c r="B205" s="22"/>
      <c r="C205" s="27">
        <f>ROUND(1171.06232606617,4)</f>
        <v>1171.0623</v>
      </c>
      <c r="D205" s="27">
        <f>F205</f>
        <v>1178.1829</v>
      </c>
      <c r="E205" s="27">
        <f>F205</f>
        <v>1178.1829</v>
      </c>
      <c r="F205" s="27">
        <f>ROUND(1178.1829,4)</f>
        <v>1178.1829</v>
      </c>
      <c r="G205" s="24"/>
      <c r="H205" s="36"/>
    </row>
    <row r="206" spans="1:8" ht="12.75" customHeight="1">
      <c r="A206" s="22" t="s">
        <v>62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41985</v>
      </c>
      <c r="B207" s="22"/>
      <c r="C207" s="27">
        <f>ROUND(-222.569253042437,4)</f>
        <v>-222.5693</v>
      </c>
      <c r="D207" s="27">
        <f>F207</f>
        <v>-223.9226</v>
      </c>
      <c r="E207" s="27">
        <f>F207</f>
        <v>-223.9226</v>
      </c>
      <c r="F207" s="27">
        <f>ROUND(-223.9226,4)</f>
        <v>-223.9226</v>
      </c>
      <c r="G207" s="24"/>
      <c r="H207" s="36"/>
    </row>
    <row r="208" spans="1:8" ht="12.75" customHeight="1">
      <c r="A208" s="22" t="s">
        <v>63</v>
      </c>
      <c r="B208" s="22"/>
      <c r="C208" s="23"/>
      <c r="D208" s="23"/>
      <c r="E208" s="23"/>
      <c r="F208" s="23"/>
      <c r="G208" s="24"/>
      <c r="H208" s="36"/>
    </row>
    <row r="209" spans="1:8" ht="12.75" customHeight="1">
      <c r="A209" s="22">
        <v>41985</v>
      </c>
      <c r="B209" s="22"/>
      <c r="C209" s="27">
        <f>ROUND(981.705447650478,4)</f>
        <v>981.7054</v>
      </c>
      <c r="D209" s="27">
        <f>F209</f>
        <v>987.6747</v>
      </c>
      <c r="E209" s="27">
        <f>F209</f>
        <v>987.6747</v>
      </c>
      <c r="F209" s="27">
        <f>ROUND(987.6747,4)</f>
        <v>987.6747</v>
      </c>
      <c r="G209" s="24"/>
      <c r="H209" s="36"/>
    </row>
    <row r="210" spans="1:8" ht="12.75" customHeight="1">
      <c r="A210" s="22" t="s">
        <v>64</v>
      </c>
      <c r="B210" s="22"/>
      <c r="C210" s="23"/>
      <c r="D210" s="23"/>
      <c r="E210" s="23"/>
      <c r="F210" s="23"/>
      <c r="G210" s="24"/>
      <c r="H210" s="36"/>
    </row>
    <row r="211" spans="1:8" ht="12.75" customHeight="1">
      <c r="A211" s="22">
        <v>41975</v>
      </c>
      <c r="B211" s="22"/>
      <c r="C211" s="27">
        <f>ROUND(9956.83738216684,4)</f>
        <v>9956.8374</v>
      </c>
      <c r="D211" s="27">
        <f>F211</f>
        <v>10000.0005</v>
      </c>
      <c r="E211" s="27">
        <f>F211</f>
        <v>10000.0005</v>
      </c>
      <c r="F211" s="27">
        <f>ROUND(10000.0005,4)</f>
        <v>10000.0005</v>
      </c>
      <c r="G211" s="24"/>
      <c r="H211" s="36"/>
    </row>
    <row r="212" spans="1:8" ht="12.75" customHeight="1">
      <c r="A212" s="22" t="s">
        <v>65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41962</v>
      </c>
      <c r="B213" s="22"/>
      <c r="C213" s="27">
        <f>ROUND(57.0820447528713,4)</f>
        <v>57.082</v>
      </c>
      <c r="D213" s="27">
        <f>F213</f>
        <v>57.1873</v>
      </c>
      <c r="E213" s="27">
        <f>F213</f>
        <v>57.1873</v>
      </c>
      <c r="F213" s="27">
        <f>ROUND(57.1873,4)</f>
        <v>57.1873</v>
      </c>
      <c r="G213" s="24"/>
      <c r="H213" s="36"/>
    </row>
    <row r="214" spans="1:8" ht="12.75" customHeight="1">
      <c r="A214" s="22" t="s">
        <v>66</v>
      </c>
      <c r="B214" s="22"/>
      <c r="C214" s="23"/>
      <c r="D214" s="23"/>
      <c r="E214" s="23"/>
      <c r="F214" s="23"/>
      <c r="G214" s="24"/>
      <c r="H214" s="36"/>
    </row>
    <row r="215" spans="1:8" ht="12.75" customHeight="1">
      <c r="A215" s="22">
        <v>41964</v>
      </c>
      <c r="B215" s="22"/>
      <c r="C215" s="27">
        <f>ROUND(9.69441284895833,4)</f>
        <v>9.6944</v>
      </c>
      <c r="D215" s="27">
        <f>F215</f>
        <v>9.7027</v>
      </c>
      <c r="E215" s="27">
        <f>F215</f>
        <v>9.7027</v>
      </c>
      <c r="F215" s="27">
        <f>ROUND(9.7027,4)</f>
        <v>9.7027</v>
      </c>
      <c r="G215" s="24"/>
      <c r="H215" s="36"/>
    </row>
    <row r="216" spans="1:8" ht="12.75" customHeight="1">
      <c r="A216" s="22" t="s">
        <v>67</v>
      </c>
      <c r="B216" s="22"/>
      <c r="C216" s="23"/>
      <c r="D216" s="23"/>
      <c r="E216" s="23"/>
      <c r="F216" s="23"/>
      <c r="G216" s="24"/>
      <c r="H216" s="36"/>
    </row>
    <row r="217" spans="1:8" ht="12.75" customHeight="1">
      <c r="A217" s="22">
        <v>41969</v>
      </c>
      <c r="B217" s="22"/>
      <c r="C217" s="27">
        <f>ROUND(13.962355378125,4)</f>
        <v>13.9624</v>
      </c>
      <c r="D217" s="27">
        <f>F217</f>
        <v>13.9953</v>
      </c>
      <c r="E217" s="27">
        <f>F217</f>
        <v>13.9953</v>
      </c>
      <c r="F217" s="27">
        <f>ROUND(13.9953,4)</f>
        <v>13.9953</v>
      </c>
      <c r="G217" s="24"/>
      <c r="H217" s="36"/>
    </row>
    <row r="218" spans="1:8" ht="12.75" customHeight="1">
      <c r="A218" s="22" t="s">
        <v>68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42027</v>
      </c>
      <c r="B219" s="22"/>
      <c r="C219" s="27">
        <f>ROUND(17.7975084854167,4)</f>
        <v>17.7975</v>
      </c>
      <c r="D219" s="27">
        <f>F219</f>
        <v>18.0103</v>
      </c>
      <c r="E219" s="27">
        <f>F219</f>
        <v>18.0103</v>
      </c>
      <c r="F219" s="27">
        <f>ROUND(18.0103,4)</f>
        <v>18.0103</v>
      </c>
      <c r="G219" s="24"/>
      <c r="H219" s="36"/>
    </row>
    <row r="220" spans="1:8" ht="12.75" customHeight="1">
      <c r="A220" s="22" t="s">
        <v>69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41953</v>
      </c>
      <c r="B221" s="22"/>
      <c r="C221" s="27">
        <f>ROUND(11.2321666666667,4)</f>
        <v>11.2322</v>
      </c>
      <c r="D221" s="27">
        <f>F221</f>
        <v>11.2357</v>
      </c>
      <c r="E221" s="27">
        <f>F221</f>
        <v>11.2357</v>
      </c>
      <c r="F221" s="27">
        <f>ROUND(11.2357,4)</f>
        <v>11.2357</v>
      </c>
      <c r="G221" s="24"/>
      <c r="H221" s="36"/>
    </row>
    <row r="222" spans="1:8" ht="12.75" customHeight="1">
      <c r="A222" s="22">
        <v>41955</v>
      </c>
      <c r="B222" s="22"/>
      <c r="C222" s="27">
        <f>ROUND(11.2321666666667,4)</f>
        <v>11.2322</v>
      </c>
      <c r="D222" s="27">
        <f>F222</f>
        <v>11.2357</v>
      </c>
      <c r="E222" s="27">
        <f>F222</f>
        <v>11.2357</v>
      </c>
      <c r="F222" s="27">
        <f>ROUND(11.2357,4)</f>
        <v>11.2357</v>
      </c>
      <c r="G222" s="24"/>
      <c r="H222" s="36"/>
    </row>
    <row r="223" spans="1:8" ht="12.75" customHeight="1">
      <c r="A223" s="22">
        <v>41968</v>
      </c>
      <c r="B223" s="22"/>
      <c r="C223" s="27">
        <f>ROUND(11.2321666666667,4)</f>
        <v>11.2322</v>
      </c>
      <c r="D223" s="27">
        <f>F223</f>
        <v>11.2558</v>
      </c>
      <c r="E223" s="27">
        <f>F223</f>
        <v>11.2558</v>
      </c>
      <c r="F223" s="27">
        <f>ROUND(11.2558,4)</f>
        <v>11.2558</v>
      </c>
      <c r="G223" s="24"/>
      <c r="H223" s="36"/>
    </row>
    <row r="224" spans="1:8" ht="12.75" customHeight="1">
      <c r="A224" s="22">
        <v>41969</v>
      </c>
      <c r="B224" s="22"/>
      <c r="C224" s="27">
        <f>ROUND(11.2321666666667,4)</f>
        <v>11.2322</v>
      </c>
      <c r="D224" s="27">
        <f>F224</f>
        <v>11.2577</v>
      </c>
      <c r="E224" s="27">
        <f>F224</f>
        <v>11.2577</v>
      </c>
      <c r="F224" s="27">
        <f>ROUND(11.2577,4)</f>
        <v>11.2577</v>
      </c>
      <c r="G224" s="24"/>
      <c r="H224" s="36"/>
    </row>
    <row r="225" spans="1:8" ht="12.75" customHeight="1">
      <c r="A225" s="22">
        <v>41971</v>
      </c>
      <c r="B225" s="22"/>
      <c r="C225" s="27">
        <f>ROUND(11.2321666666667,4)</f>
        <v>11.2322</v>
      </c>
      <c r="D225" s="27">
        <f>F225</f>
        <v>11.2614</v>
      </c>
      <c r="E225" s="27">
        <f>F225</f>
        <v>11.2614</v>
      </c>
      <c r="F225" s="27">
        <f>ROUND(11.2614,4)</f>
        <v>11.2614</v>
      </c>
      <c r="G225" s="24"/>
      <c r="H225" s="36"/>
    </row>
    <row r="226" spans="1:8" ht="12.75" customHeight="1">
      <c r="A226" s="22">
        <v>41983</v>
      </c>
      <c r="B226" s="22"/>
      <c r="C226" s="27">
        <f>ROUND(11.2321666666667,4)</f>
        <v>11.2322</v>
      </c>
      <c r="D226" s="27">
        <f>F226</f>
        <v>11.2839</v>
      </c>
      <c r="E226" s="27">
        <f>F226</f>
        <v>11.2839</v>
      </c>
      <c r="F226" s="27">
        <f>ROUND(11.2839,4)</f>
        <v>11.2839</v>
      </c>
      <c r="G226" s="24"/>
      <c r="H226" s="36"/>
    </row>
    <row r="227" spans="1:8" ht="12.75" customHeight="1">
      <c r="A227" s="22">
        <v>41984</v>
      </c>
      <c r="B227" s="22"/>
      <c r="C227" s="27">
        <f>ROUND(11.2321666666667,4)</f>
        <v>11.2322</v>
      </c>
      <c r="D227" s="27">
        <f>F227</f>
        <v>11.2858</v>
      </c>
      <c r="E227" s="27">
        <f>F227</f>
        <v>11.2858</v>
      </c>
      <c r="F227" s="27">
        <f>ROUND(11.2858,4)</f>
        <v>11.2858</v>
      </c>
      <c r="G227" s="24"/>
      <c r="H227" s="36"/>
    </row>
    <row r="228" spans="1:8" ht="12.75" customHeight="1">
      <c r="A228" s="22">
        <v>41988</v>
      </c>
      <c r="B228" s="22"/>
      <c r="C228" s="27">
        <f>ROUND(11.2321666666667,4)</f>
        <v>11.2322</v>
      </c>
      <c r="D228" s="27">
        <f>F228</f>
        <v>11.2939</v>
      </c>
      <c r="E228" s="27">
        <f>F228</f>
        <v>11.2939</v>
      </c>
      <c r="F228" s="27">
        <f>ROUND(11.2939,4)</f>
        <v>11.2939</v>
      </c>
      <c r="G228" s="24"/>
      <c r="H228" s="36"/>
    </row>
    <row r="229" spans="1:8" ht="12.75" customHeight="1">
      <c r="A229" s="22">
        <v>41992</v>
      </c>
      <c r="B229" s="22"/>
      <c r="C229" s="27">
        <f>ROUND(11.2321666666667,4)</f>
        <v>11.2322</v>
      </c>
      <c r="D229" s="27">
        <f>F229</f>
        <v>11.3022</v>
      </c>
      <c r="E229" s="27">
        <f>F229</f>
        <v>11.3022</v>
      </c>
      <c r="F229" s="27">
        <f>ROUND(11.3022,4)</f>
        <v>11.3022</v>
      </c>
      <c r="G229" s="24"/>
      <c r="H229" s="36"/>
    </row>
    <row r="230" spans="1:8" ht="12.75" customHeight="1">
      <c r="A230" s="22">
        <v>41996</v>
      </c>
      <c r="B230" s="22"/>
      <c r="C230" s="27">
        <f>ROUND(11.2321666666667,4)</f>
        <v>11.2322</v>
      </c>
      <c r="D230" s="27">
        <f>F230</f>
        <v>11.3105</v>
      </c>
      <c r="E230" s="27">
        <f>F230</f>
        <v>11.3105</v>
      </c>
      <c r="F230" s="27">
        <f>ROUND(11.3105,4)</f>
        <v>11.3105</v>
      </c>
      <c r="G230" s="24"/>
      <c r="H230" s="36"/>
    </row>
    <row r="231" spans="1:8" ht="12.75" customHeight="1">
      <c r="A231" s="22">
        <v>42032</v>
      </c>
      <c r="B231" s="22"/>
      <c r="C231" s="27">
        <f>ROUND(11.2321666666667,4)</f>
        <v>11.2322</v>
      </c>
      <c r="D231" s="27">
        <f>F231</f>
        <v>11.3825</v>
      </c>
      <c r="E231" s="27">
        <f>F231</f>
        <v>11.3825</v>
      </c>
      <c r="F231" s="27">
        <f>ROUND(11.3825,4)</f>
        <v>11.3825</v>
      </c>
      <c r="G231" s="24"/>
      <c r="H231" s="36"/>
    </row>
    <row r="232" spans="1:8" ht="12.75" customHeight="1">
      <c r="A232" s="22">
        <v>42060</v>
      </c>
      <c r="B232" s="22"/>
      <c r="C232" s="27">
        <f>ROUND(11.2321666666667,4)</f>
        <v>11.2322</v>
      </c>
      <c r="D232" s="27">
        <f>F232</f>
        <v>11.4371</v>
      </c>
      <c r="E232" s="27">
        <f>F232</f>
        <v>11.4371</v>
      </c>
      <c r="F232" s="27">
        <f>ROUND(11.4371,4)</f>
        <v>11.4371</v>
      </c>
      <c r="G232" s="24"/>
      <c r="H232" s="36"/>
    </row>
    <row r="233" spans="1:8" ht="12.75" customHeight="1">
      <c r="A233" s="22">
        <v>42061</v>
      </c>
      <c r="B233" s="22"/>
      <c r="C233" s="27">
        <f>ROUND(11.2321666666667,4)</f>
        <v>11.2322</v>
      </c>
      <c r="D233" s="27">
        <f>F233</f>
        <v>11.4391</v>
      </c>
      <c r="E233" s="27">
        <f>F233</f>
        <v>11.4391</v>
      </c>
      <c r="F233" s="27">
        <f>ROUND(11.4391,4)</f>
        <v>11.4391</v>
      </c>
      <c r="G233" s="24"/>
      <c r="H233" s="36"/>
    </row>
    <row r="234" spans="1:8" ht="12.75" customHeight="1">
      <c r="A234" s="22">
        <v>42062</v>
      </c>
      <c r="B234" s="22"/>
      <c r="C234" s="27">
        <f>ROUND(11.2321666666667,4)</f>
        <v>11.2322</v>
      </c>
      <c r="D234" s="27">
        <f>F234</f>
        <v>11.4411</v>
      </c>
      <c r="E234" s="27">
        <f>F234</f>
        <v>11.4411</v>
      </c>
      <c r="F234" s="27">
        <f>ROUND(11.4411,4)</f>
        <v>11.4411</v>
      </c>
      <c r="G234" s="24"/>
      <c r="H234" s="36"/>
    </row>
    <row r="235" spans="1:8" ht="12.75" customHeight="1">
      <c r="A235" s="22">
        <v>42090</v>
      </c>
      <c r="B235" s="22"/>
      <c r="C235" s="27">
        <f>ROUND(11.2321666666667,4)</f>
        <v>11.2322</v>
      </c>
      <c r="D235" s="27">
        <f>F235</f>
        <v>11.4972</v>
      </c>
      <c r="E235" s="27">
        <f>F235</f>
        <v>11.4972</v>
      </c>
      <c r="F235" s="27">
        <f>ROUND(11.4972,4)</f>
        <v>11.4972</v>
      </c>
      <c r="G235" s="24"/>
      <c r="H235" s="36"/>
    </row>
    <row r="236" spans="1:8" ht="12.75" customHeight="1">
      <c r="A236" s="22">
        <v>42095</v>
      </c>
      <c r="B236" s="22"/>
      <c r="C236" s="27">
        <f>ROUND(11.2321666666667,4)</f>
        <v>11.2322</v>
      </c>
      <c r="D236" s="27">
        <f>F236</f>
        <v>11.5072</v>
      </c>
      <c r="E236" s="27">
        <f>F236</f>
        <v>11.5072</v>
      </c>
      <c r="F236" s="27">
        <f>ROUND(11.5072,4)</f>
        <v>11.5072</v>
      </c>
      <c r="G236" s="24"/>
      <c r="H236" s="36"/>
    </row>
    <row r="237" spans="1:8" ht="12.75" customHeight="1">
      <c r="A237" s="22">
        <v>42122</v>
      </c>
      <c r="B237" s="22"/>
      <c r="C237" s="27">
        <f>ROUND(11.2321666666667,4)</f>
        <v>11.2322</v>
      </c>
      <c r="D237" s="27">
        <f>F237</f>
        <v>11.5613</v>
      </c>
      <c r="E237" s="27">
        <f>F237</f>
        <v>11.5613</v>
      </c>
      <c r="F237" s="27">
        <f>ROUND(11.5613,4)</f>
        <v>11.5613</v>
      </c>
      <c r="G237" s="24"/>
      <c r="H237" s="36"/>
    </row>
    <row r="238" spans="1:8" ht="12.75" customHeight="1">
      <c r="A238" s="22">
        <v>42151</v>
      </c>
      <c r="B238" s="22"/>
      <c r="C238" s="27">
        <f>ROUND(11.2321666666667,4)</f>
        <v>11.2322</v>
      </c>
      <c r="D238" s="27">
        <f>F238</f>
        <v>11.6202</v>
      </c>
      <c r="E238" s="27">
        <f>F238</f>
        <v>11.6202</v>
      </c>
      <c r="F238" s="27">
        <f>ROUND(11.6202,4)</f>
        <v>11.6202</v>
      </c>
      <c r="G238" s="24"/>
      <c r="H238" s="36"/>
    </row>
    <row r="239" spans="1:8" ht="12.75" customHeight="1">
      <c r="A239" s="22">
        <v>42181</v>
      </c>
      <c r="B239" s="22"/>
      <c r="C239" s="27">
        <f>ROUND(11.2321666666667,4)</f>
        <v>11.2322</v>
      </c>
      <c r="D239" s="27">
        <f>F239</f>
        <v>11.6818</v>
      </c>
      <c r="E239" s="27">
        <f>F239</f>
        <v>11.6818</v>
      </c>
      <c r="F239" s="27">
        <f>ROUND(11.6818,4)</f>
        <v>11.6818</v>
      </c>
      <c r="G239" s="24"/>
      <c r="H239" s="36"/>
    </row>
    <row r="240" spans="1:8" ht="12.75" customHeight="1">
      <c r="A240" s="22">
        <v>42214</v>
      </c>
      <c r="B240" s="22"/>
      <c r="C240" s="27">
        <f>ROUND(11.2321666666667,4)</f>
        <v>11.2322</v>
      </c>
      <c r="D240" s="27">
        <f>F240</f>
        <v>11.7496</v>
      </c>
      <c r="E240" s="27">
        <f>F240</f>
        <v>11.7496</v>
      </c>
      <c r="F240" s="27">
        <f>ROUND(11.7496,4)</f>
        <v>11.7496</v>
      </c>
      <c r="G240" s="24"/>
      <c r="H240" s="36"/>
    </row>
    <row r="241" spans="1:8" ht="12.75" customHeight="1">
      <c r="A241" s="22">
        <v>42243</v>
      </c>
      <c r="B241" s="22"/>
      <c r="C241" s="27">
        <f>ROUND(11.2321666666667,4)</f>
        <v>11.2322</v>
      </c>
      <c r="D241" s="27">
        <f>F241</f>
        <v>11.8104</v>
      </c>
      <c r="E241" s="27">
        <f>F241</f>
        <v>11.8104</v>
      </c>
      <c r="F241" s="27">
        <f>ROUND(11.8104,4)</f>
        <v>11.8104</v>
      </c>
      <c r="G241" s="24"/>
      <c r="H241" s="36"/>
    </row>
    <row r="242" spans="1:8" ht="12.75" customHeight="1">
      <c r="A242" s="22">
        <v>42275</v>
      </c>
      <c r="B242" s="22"/>
      <c r="C242" s="27">
        <f>ROUND(11.2321666666667,4)</f>
        <v>11.2322</v>
      </c>
      <c r="D242" s="27">
        <f>F242</f>
        <v>11.8788</v>
      </c>
      <c r="E242" s="27">
        <f>F242</f>
        <v>11.8788</v>
      </c>
      <c r="F242" s="27">
        <f>ROUND(11.8788,4)</f>
        <v>11.8788</v>
      </c>
      <c r="G242" s="24"/>
      <c r="H242" s="36"/>
    </row>
    <row r="243" spans="1:8" ht="12.75" customHeight="1">
      <c r="A243" s="22">
        <v>42305</v>
      </c>
      <c r="B243" s="22"/>
      <c r="C243" s="27">
        <f>ROUND(11.2321666666667,4)</f>
        <v>11.2322</v>
      </c>
      <c r="D243" s="27">
        <f>F243</f>
        <v>11.943</v>
      </c>
      <c r="E243" s="27">
        <f>F243</f>
        <v>11.943</v>
      </c>
      <c r="F243" s="27">
        <f>ROUND(11.943,4)</f>
        <v>11.943</v>
      </c>
      <c r="G243" s="24"/>
      <c r="H243" s="36"/>
    </row>
    <row r="244" spans="1:8" ht="12.75" customHeight="1">
      <c r="A244" s="22">
        <v>42333</v>
      </c>
      <c r="B244" s="22"/>
      <c r="C244" s="27">
        <f>ROUND(11.2321666666667,4)</f>
        <v>11.2322</v>
      </c>
      <c r="D244" s="27">
        <f>F244</f>
        <v>12.0017</v>
      </c>
      <c r="E244" s="27">
        <f>F244</f>
        <v>12.0017</v>
      </c>
      <c r="F244" s="27">
        <f>ROUND(12.0017,4)</f>
        <v>12.0017</v>
      </c>
      <c r="G244" s="24"/>
      <c r="H244" s="36"/>
    </row>
    <row r="245" spans="1:8" ht="12.75" customHeight="1">
      <c r="A245" s="22">
        <v>42359</v>
      </c>
      <c r="B245" s="22"/>
      <c r="C245" s="27">
        <f>ROUND(11.2321666666667,4)</f>
        <v>11.2322</v>
      </c>
      <c r="D245" s="27">
        <f>F245</f>
        <v>12.055</v>
      </c>
      <c r="E245" s="27">
        <f>F245</f>
        <v>12.055</v>
      </c>
      <c r="F245" s="27">
        <f>ROUND(12.055,4)</f>
        <v>12.055</v>
      </c>
      <c r="G245" s="24"/>
      <c r="H245" s="36"/>
    </row>
    <row r="246" spans="1:8" ht="12.75" customHeight="1">
      <c r="A246" s="22" t="s">
        <v>70</v>
      </c>
      <c r="B246" s="22"/>
      <c r="C246" s="23"/>
      <c r="D246" s="23"/>
      <c r="E246" s="23"/>
      <c r="F246" s="23"/>
      <c r="G246" s="24"/>
      <c r="H246" s="36"/>
    </row>
    <row r="247" spans="1:8" ht="12.75" customHeight="1">
      <c r="A247" s="22">
        <v>41985</v>
      </c>
      <c r="B247" s="22"/>
      <c r="C247" s="27">
        <f>ROUND(1.24306875,4)</f>
        <v>1.2431</v>
      </c>
      <c r="D247" s="27">
        <f>F247</f>
        <v>1.2433</v>
      </c>
      <c r="E247" s="27">
        <f>F247</f>
        <v>1.2433</v>
      </c>
      <c r="F247" s="27">
        <f>ROUND(1.2433,4)</f>
        <v>1.2433</v>
      </c>
      <c r="G247" s="24"/>
      <c r="H247" s="36"/>
    </row>
    <row r="248" spans="1:8" ht="12.75" customHeight="1">
      <c r="A248" s="22">
        <v>42079</v>
      </c>
      <c r="B248" s="22"/>
      <c r="C248" s="27">
        <f>ROUND(1.24306875,4)</f>
        <v>1.2431</v>
      </c>
      <c r="D248" s="27">
        <f>F248</f>
        <v>1.2442</v>
      </c>
      <c r="E248" s="27">
        <f>F248</f>
        <v>1.2442</v>
      </c>
      <c r="F248" s="27">
        <f>ROUND(1.2442,4)</f>
        <v>1.2442</v>
      </c>
      <c r="G248" s="24"/>
      <c r="H248" s="36"/>
    </row>
    <row r="249" spans="1:8" ht="12.75" customHeight="1">
      <c r="A249" s="22">
        <v>42167</v>
      </c>
      <c r="B249" s="22"/>
      <c r="C249" s="27">
        <f>ROUND(1.24306875,4)</f>
        <v>1.2431</v>
      </c>
      <c r="D249" s="27">
        <f>F249</f>
        <v>1.2451</v>
      </c>
      <c r="E249" s="27">
        <f>F249</f>
        <v>1.2451</v>
      </c>
      <c r="F249" s="27">
        <f>ROUND(1.2451,4)</f>
        <v>1.2451</v>
      </c>
      <c r="G249" s="24"/>
      <c r="H249" s="36"/>
    </row>
    <row r="250" spans="1:8" ht="12.75" customHeight="1">
      <c r="A250" s="22" t="s">
        <v>71</v>
      </c>
      <c r="B250" s="22"/>
      <c r="C250" s="23"/>
      <c r="D250" s="23"/>
      <c r="E250" s="23"/>
      <c r="F250" s="23"/>
      <c r="G250" s="24"/>
      <c r="H250" s="36"/>
    </row>
    <row r="251" spans="1:8" ht="12.75" customHeight="1">
      <c r="A251" s="22">
        <v>41985</v>
      </c>
      <c r="B251" s="22"/>
      <c r="C251" s="27">
        <f>ROUND(9.69441284895833,4)</f>
        <v>9.6944</v>
      </c>
      <c r="D251" s="27">
        <f>F251</f>
        <v>9.7215</v>
      </c>
      <c r="E251" s="27">
        <f>F251</f>
        <v>9.7215</v>
      </c>
      <c r="F251" s="27">
        <f>ROUND(9.7215,4)</f>
        <v>9.7215</v>
      </c>
      <c r="G251" s="24"/>
      <c r="H251" s="36"/>
    </row>
    <row r="252" spans="1:8" ht="12.75" customHeight="1">
      <c r="A252" s="22">
        <v>42079</v>
      </c>
      <c r="B252" s="22"/>
      <c r="C252" s="27">
        <f>ROUND(9.69441284895833,4)</f>
        <v>9.6944</v>
      </c>
      <c r="D252" s="27">
        <f>F252</f>
        <v>9.8154</v>
      </c>
      <c r="E252" s="27">
        <f>F252</f>
        <v>9.8154</v>
      </c>
      <c r="F252" s="27">
        <f>ROUND(9.8154,4)</f>
        <v>9.8154</v>
      </c>
      <c r="G252" s="24"/>
      <c r="H252" s="36"/>
    </row>
    <row r="253" spans="1:8" ht="12.75" customHeight="1">
      <c r="A253" s="22">
        <v>42167</v>
      </c>
      <c r="B253" s="22"/>
      <c r="C253" s="27">
        <f>ROUND(9.69441284895833,4)</f>
        <v>9.6944</v>
      </c>
      <c r="D253" s="27">
        <f>F253</f>
        <v>9.9046</v>
      </c>
      <c r="E253" s="27">
        <f>F253</f>
        <v>9.9046</v>
      </c>
      <c r="F253" s="27">
        <f>ROUND(9.9046,4)</f>
        <v>9.9046</v>
      </c>
      <c r="G253" s="24"/>
      <c r="H253" s="36"/>
    </row>
    <row r="254" spans="1:8" ht="12.75" customHeight="1">
      <c r="A254" s="22">
        <v>42261</v>
      </c>
      <c r="B254" s="22"/>
      <c r="C254" s="27">
        <f>ROUND(9.69441284895833,4)</f>
        <v>9.6944</v>
      </c>
      <c r="D254" s="27">
        <f>F254</f>
        <v>10.0056</v>
      </c>
      <c r="E254" s="27">
        <f>F254</f>
        <v>10.0056</v>
      </c>
      <c r="F254" s="27">
        <f>ROUND(10.0056,4)</f>
        <v>10.0056</v>
      </c>
      <c r="G254" s="24"/>
      <c r="H254" s="36"/>
    </row>
    <row r="255" spans="1:8" ht="12.75" customHeight="1">
      <c r="A255" s="22">
        <v>42349</v>
      </c>
      <c r="B255" s="22"/>
      <c r="C255" s="27">
        <f>ROUND(9.69441284895833,4)</f>
        <v>9.6944</v>
      </c>
      <c r="D255" s="27">
        <f>F255</f>
        <v>10.1069</v>
      </c>
      <c r="E255" s="27">
        <f>F255</f>
        <v>10.1069</v>
      </c>
      <c r="F255" s="27">
        <f>ROUND(10.1069,4)</f>
        <v>10.1069</v>
      </c>
      <c r="G255" s="24"/>
      <c r="H255" s="36"/>
    </row>
    <row r="256" spans="1:8" ht="12.75" customHeight="1">
      <c r="A256" s="22">
        <v>42443</v>
      </c>
      <c r="B256" s="22"/>
      <c r="C256" s="27">
        <f>ROUND(9.69441284895833,4)</f>
        <v>9.6944</v>
      </c>
      <c r="D256" s="27">
        <f>F256</f>
        <v>10.2132</v>
      </c>
      <c r="E256" s="27">
        <f>F256</f>
        <v>10.2132</v>
      </c>
      <c r="F256" s="27">
        <f>ROUND(10.2132,4)</f>
        <v>10.2132</v>
      </c>
      <c r="G256" s="24"/>
      <c r="H256" s="36"/>
    </row>
    <row r="257" spans="1:8" ht="12.75" customHeight="1">
      <c r="A257" s="22">
        <v>42534</v>
      </c>
      <c r="B257" s="22"/>
      <c r="C257" s="27">
        <f>ROUND(9.69441284895833,4)</f>
        <v>9.6944</v>
      </c>
      <c r="D257" s="27">
        <f>F257</f>
        <v>10.3167</v>
      </c>
      <c r="E257" s="27">
        <f>F257</f>
        <v>10.3167</v>
      </c>
      <c r="F257" s="27">
        <f>ROUND(10.3167,4)</f>
        <v>10.3167</v>
      </c>
      <c r="G257" s="24"/>
      <c r="H257" s="36"/>
    </row>
    <row r="258" spans="1:8" ht="12.75" customHeight="1">
      <c r="A258" s="22" t="s">
        <v>72</v>
      </c>
      <c r="B258" s="22"/>
      <c r="C258" s="23"/>
      <c r="D258" s="23"/>
      <c r="E258" s="23"/>
      <c r="F258" s="23"/>
      <c r="G258" s="24"/>
      <c r="H258" s="36"/>
    </row>
    <row r="259" spans="1:8" ht="12.75" customHeight="1">
      <c r="A259" s="22">
        <v>41985</v>
      </c>
      <c r="B259" s="22"/>
      <c r="C259" s="27">
        <f>ROUND(9.89531025166652,4)</f>
        <v>9.8953</v>
      </c>
      <c r="D259" s="27">
        <f>F259</f>
        <v>9.9371</v>
      </c>
      <c r="E259" s="27">
        <f>F259</f>
        <v>9.9371</v>
      </c>
      <c r="F259" s="27">
        <f>ROUND(9.9371,4)</f>
        <v>9.9371</v>
      </c>
      <c r="G259" s="24"/>
      <c r="H259" s="36"/>
    </row>
    <row r="260" spans="1:8" ht="12.75" customHeight="1">
      <c r="A260" s="22">
        <v>42079</v>
      </c>
      <c r="B260" s="22"/>
      <c r="C260" s="27">
        <f>ROUND(9.89531025166652,4)</f>
        <v>9.8953</v>
      </c>
      <c r="D260" s="27">
        <f>F260</f>
        <v>10.0785</v>
      </c>
      <c r="E260" s="27">
        <f>F260</f>
        <v>10.0785</v>
      </c>
      <c r="F260" s="27">
        <f>ROUND(10.0785,4)</f>
        <v>10.0785</v>
      </c>
      <c r="G260" s="24"/>
      <c r="H260" s="36"/>
    </row>
    <row r="261" spans="1:8" ht="12.75" customHeight="1">
      <c r="A261" s="22">
        <v>42167</v>
      </c>
      <c r="B261" s="22"/>
      <c r="C261" s="27">
        <f>ROUND(9.89531025166652,4)</f>
        <v>9.8953</v>
      </c>
      <c r="D261" s="27">
        <f>F261</f>
        <v>10.212</v>
      </c>
      <c r="E261" s="27">
        <f>F261</f>
        <v>10.212</v>
      </c>
      <c r="F261" s="27">
        <f>ROUND(10.212,4)</f>
        <v>10.212</v>
      </c>
      <c r="G261" s="24"/>
      <c r="H261" s="36"/>
    </row>
    <row r="262" spans="1:8" ht="12.75" customHeight="1">
      <c r="A262" s="22">
        <v>42261</v>
      </c>
      <c r="B262" s="22"/>
      <c r="C262" s="27">
        <f>ROUND(9.89531025166652,4)</f>
        <v>9.8953</v>
      </c>
      <c r="D262" s="27">
        <f>F262</f>
        <v>10.3604</v>
      </c>
      <c r="E262" s="27">
        <f>F262</f>
        <v>10.3604</v>
      </c>
      <c r="F262" s="27">
        <f>ROUND(10.3604,4)</f>
        <v>10.3604</v>
      </c>
      <c r="G262" s="24"/>
      <c r="H262" s="36"/>
    </row>
    <row r="263" spans="1:8" ht="12.75" customHeight="1">
      <c r="A263" s="22" t="s">
        <v>73</v>
      </c>
      <c r="B263" s="22"/>
      <c r="C263" s="23"/>
      <c r="D263" s="23"/>
      <c r="E263" s="23"/>
      <c r="F263" s="23"/>
      <c r="G263" s="24"/>
      <c r="H263" s="36"/>
    </row>
    <row r="264" spans="1:8" ht="12.75" customHeight="1">
      <c r="A264" s="22">
        <v>41985</v>
      </c>
      <c r="B264" s="22"/>
      <c r="C264" s="27">
        <f>ROUND(1.83967599458904,4)</f>
        <v>1.8397</v>
      </c>
      <c r="D264" s="27">
        <f>F264</f>
        <v>1.8341</v>
      </c>
      <c r="E264" s="27">
        <f>F264</f>
        <v>1.8341</v>
      </c>
      <c r="F264" s="27">
        <f>ROUND(1.8341,4)</f>
        <v>1.8341</v>
      </c>
      <c r="G264" s="24"/>
      <c r="H264" s="36"/>
    </row>
    <row r="265" spans="1:8" ht="12.75" customHeight="1">
      <c r="A265" s="22">
        <v>42079</v>
      </c>
      <c r="B265" s="22"/>
      <c r="C265" s="27">
        <f>ROUND(1.83967599458904,4)</f>
        <v>1.8397</v>
      </c>
      <c r="D265" s="27">
        <f>F265</f>
        <v>1.8505</v>
      </c>
      <c r="E265" s="27">
        <f>F265</f>
        <v>1.8505</v>
      </c>
      <c r="F265" s="27">
        <f>ROUND(1.8505,4)</f>
        <v>1.8505</v>
      </c>
      <c r="G265" s="24"/>
      <c r="H265" s="36"/>
    </row>
    <row r="266" spans="1:8" ht="12.75" customHeight="1">
      <c r="A266" s="22">
        <v>42167</v>
      </c>
      <c r="B266" s="22"/>
      <c r="C266" s="27">
        <f>ROUND(1.83967599458904,4)</f>
        <v>1.8397</v>
      </c>
      <c r="D266" s="27">
        <f>F266</f>
        <v>1.8676</v>
      </c>
      <c r="E266" s="27">
        <f>F266</f>
        <v>1.8676</v>
      </c>
      <c r="F266" s="27">
        <f>ROUND(1.8676,4)</f>
        <v>1.8676</v>
      </c>
      <c r="G266" s="24"/>
      <c r="H266" s="36"/>
    </row>
    <row r="267" spans="1:8" ht="12.75" customHeight="1">
      <c r="A267" s="22">
        <v>42261</v>
      </c>
      <c r="B267" s="22"/>
      <c r="C267" s="27">
        <f>ROUND(1.83967599458904,4)</f>
        <v>1.8397</v>
      </c>
      <c r="D267" s="27">
        <f>F267</f>
        <v>1.8881</v>
      </c>
      <c r="E267" s="27">
        <f>F267</f>
        <v>1.8881</v>
      </c>
      <c r="F267" s="27">
        <f>ROUND(1.8881,4)</f>
        <v>1.8881</v>
      </c>
      <c r="G267" s="24"/>
      <c r="H267" s="36"/>
    </row>
    <row r="268" spans="1:8" ht="12.75" customHeight="1">
      <c r="A268" s="22" t="s">
        <v>74</v>
      </c>
      <c r="B268" s="22"/>
      <c r="C268" s="23"/>
      <c r="D268" s="23"/>
      <c r="E268" s="23"/>
      <c r="F268" s="23"/>
      <c r="G268" s="24"/>
      <c r="H268" s="36"/>
    </row>
    <row r="269" spans="1:8" ht="12.75" customHeight="1">
      <c r="A269" s="22">
        <v>41985</v>
      </c>
      <c r="B269" s="22"/>
      <c r="C269" s="27">
        <f>ROUND(13.962355378125,4)</f>
        <v>13.9624</v>
      </c>
      <c r="D269" s="27">
        <f>F269</f>
        <v>14.0344</v>
      </c>
      <c r="E269" s="27">
        <f>F269</f>
        <v>14.0344</v>
      </c>
      <c r="F269" s="27">
        <f>ROUND(14.0344,4)</f>
        <v>14.0344</v>
      </c>
      <c r="G269" s="24"/>
      <c r="H269" s="36"/>
    </row>
    <row r="270" spans="1:8" ht="12.75" customHeight="1">
      <c r="A270" s="22">
        <v>42079</v>
      </c>
      <c r="B270" s="22"/>
      <c r="C270" s="27">
        <f>ROUND(13.962355378125,4)</f>
        <v>13.9624</v>
      </c>
      <c r="D270" s="27">
        <f>F270</f>
        <v>14.2773</v>
      </c>
      <c r="E270" s="27">
        <f>F270</f>
        <v>14.2773</v>
      </c>
      <c r="F270" s="27">
        <f>ROUND(14.2773,4)</f>
        <v>14.2773</v>
      </c>
      <c r="G270" s="24"/>
      <c r="H270" s="36"/>
    </row>
    <row r="271" spans="1:8" ht="12.75" customHeight="1">
      <c r="A271" s="22">
        <v>42167</v>
      </c>
      <c r="B271" s="22"/>
      <c r="C271" s="27">
        <f>ROUND(13.962355378125,4)</f>
        <v>13.9624</v>
      </c>
      <c r="D271" s="27">
        <f>F271</f>
        <v>14.5096</v>
      </c>
      <c r="E271" s="27">
        <f>F271</f>
        <v>14.5096</v>
      </c>
      <c r="F271" s="27">
        <f>ROUND(14.5096,4)</f>
        <v>14.5096</v>
      </c>
      <c r="G271" s="24"/>
      <c r="H271" s="36"/>
    </row>
    <row r="272" spans="1:8" ht="12.75" customHeight="1">
      <c r="A272" s="22">
        <v>42261</v>
      </c>
      <c r="B272" s="22"/>
      <c r="C272" s="27">
        <f>ROUND(13.962355378125,4)</f>
        <v>13.9624</v>
      </c>
      <c r="D272" s="27">
        <f>F272</f>
        <v>14.7714</v>
      </c>
      <c r="E272" s="27">
        <f>F272</f>
        <v>14.7714</v>
      </c>
      <c r="F272" s="27">
        <f>ROUND(14.7714,4)</f>
        <v>14.7714</v>
      </c>
      <c r="G272" s="24"/>
      <c r="H272" s="36"/>
    </row>
    <row r="273" spans="1:8" ht="12.75" customHeight="1">
      <c r="A273" s="22">
        <v>42349</v>
      </c>
      <c r="B273" s="22"/>
      <c r="C273" s="27">
        <f>ROUND(13.962355378125,4)</f>
        <v>13.9624</v>
      </c>
      <c r="D273" s="27">
        <f>F273</f>
        <v>15.0234</v>
      </c>
      <c r="E273" s="27">
        <f>F273</f>
        <v>15.0234</v>
      </c>
      <c r="F273" s="27">
        <f>ROUND(15.0234,4)</f>
        <v>15.0234</v>
      </c>
      <c r="G273" s="24"/>
      <c r="H273" s="36"/>
    </row>
    <row r="274" spans="1:8" ht="12.75" customHeight="1">
      <c r="A274" s="22">
        <v>42443</v>
      </c>
      <c r="B274" s="22"/>
      <c r="C274" s="27">
        <f>ROUND(13.962355378125,4)</f>
        <v>13.9624</v>
      </c>
      <c r="D274" s="27">
        <f>F274</f>
        <v>15.2946</v>
      </c>
      <c r="E274" s="27">
        <f>F274</f>
        <v>15.2946</v>
      </c>
      <c r="F274" s="27">
        <f>ROUND(15.2946,4)</f>
        <v>15.2946</v>
      </c>
      <c r="G274" s="24"/>
      <c r="H274" s="36"/>
    </row>
    <row r="275" spans="1:8" ht="12.75" customHeight="1">
      <c r="A275" s="22">
        <v>42534</v>
      </c>
      <c r="B275" s="22"/>
      <c r="C275" s="27">
        <f>ROUND(13.962355378125,4)</f>
        <v>13.9624</v>
      </c>
      <c r="D275" s="27">
        <f>F275</f>
        <v>15.5855</v>
      </c>
      <c r="E275" s="27">
        <f>F275</f>
        <v>15.5855</v>
      </c>
      <c r="F275" s="27">
        <f>ROUND(15.5855,4)</f>
        <v>15.5855</v>
      </c>
      <c r="G275" s="24"/>
      <c r="H275" s="36"/>
    </row>
    <row r="276" spans="1:8" ht="12.75" customHeight="1">
      <c r="A276" s="22" t="s">
        <v>75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41985</v>
      </c>
      <c r="B277" s="22"/>
      <c r="C277" s="27">
        <f>ROUND(11.5980862890874,4)</f>
        <v>11.5981</v>
      </c>
      <c r="D277" s="27">
        <f>F277</f>
        <v>11.6583</v>
      </c>
      <c r="E277" s="27">
        <f>F277</f>
        <v>11.6583</v>
      </c>
      <c r="F277" s="27">
        <f>ROUND(11.6583,4)</f>
        <v>11.6583</v>
      </c>
      <c r="G277" s="24"/>
      <c r="H277" s="36"/>
    </row>
    <row r="278" spans="1:8" ht="12.75" customHeight="1">
      <c r="A278" s="22">
        <v>42079</v>
      </c>
      <c r="B278" s="22"/>
      <c r="C278" s="27">
        <f>ROUND(11.5980862890874,4)</f>
        <v>11.5981</v>
      </c>
      <c r="D278" s="27">
        <f>F278</f>
        <v>11.8651</v>
      </c>
      <c r="E278" s="27">
        <f>F278</f>
        <v>11.8651</v>
      </c>
      <c r="F278" s="27">
        <f>ROUND(11.8651,4)</f>
        <v>11.8651</v>
      </c>
      <c r="G278" s="24"/>
      <c r="H278" s="36"/>
    </row>
    <row r="279" spans="1:8" ht="12.75" customHeight="1">
      <c r="A279" s="22">
        <v>42167</v>
      </c>
      <c r="B279" s="22"/>
      <c r="C279" s="27">
        <f>ROUND(11.5980862890874,4)</f>
        <v>11.5981</v>
      </c>
      <c r="D279" s="27">
        <f>F279</f>
        <v>12.0637</v>
      </c>
      <c r="E279" s="27">
        <f>F279</f>
        <v>12.0637</v>
      </c>
      <c r="F279" s="27">
        <f>ROUND(12.0637,4)</f>
        <v>12.0637</v>
      </c>
      <c r="G279" s="24"/>
      <c r="H279" s="36"/>
    </row>
    <row r="280" spans="1:8" ht="12.75" customHeight="1">
      <c r="A280" s="22">
        <v>42261</v>
      </c>
      <c r="B280" s="22"/>
      <c r="C280" s="27">
        <f>ROUND(11.5980862890874,4)</f>
        <v>11.5981</v>
      </c>
      <c r="D280" s="27">
        <f>F280</f>
        <v>12.2882</v>
      </c>
      <c r="E280" s="27">
        <f>F280</f>
        <v>12.2882</v>
      </c>
      <c r="F280" s="27">
        <f>ROUND(12.2882,4)</f>
        <v>12.2882</v>
      </c>
      <c r="G280" s="24"/>
      <c r="H280" s="36"/>
    </row>
    <row r="281" spans="1:8" ht="12.75" customHeight="1">
      <c r="A281" s="22">
        <v>42349</v>
      </c>
      <c r="B281" s="22"/>
      <c r="C281" s="27">
        <f>ROUND(11.5980862890874,4)</f>
        <v>11.5981</v>
      </c>
      <c r="D281" s="27">
        <f>F281</f>
        <v>12.502</v>
      </c>
      <c r="E281" s="27">
        <f>F281</f>
        <v>12.502</v>
      </c>
      <c r="F281" s="27">
        <f>ROUND(12.502,4)</f>
        <v>12.502</v>
      </c>
      <c r="G281" s="24"/>
      <c r="H281" s="36"/>
    </row>
    <row r="282" spans="1:8" ht="12.75" customHeight="1">
      <c r="A282" s="22" t="s">
        <v>76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41985</v>
      </c>
      <c r="B283" s="22"/>
      <c r="C283" s="27">
        <f>ROUND(17.7975084854167,4)</f>
        <v>17.7975</v>
      </c>
      <c r="D283" s="27">
        <f>F283</f>
        <v>17.8811</v>
      </c>
      <c r="E283" s="27">
        <f>F283</f>
        <v>17.8811</v>
      </c>
      <c r="F283" s="27">
        <f>ROUND(17.8811,4)</f>
        <v>17.8811</v>
      </c>
      <c r="G283" s="24"/>
      <c r="H283" s="36"/>
    </row>
    <row r="284" spans="1:8" ht="12.75" customHeight="1">
      <c r="A284" s="22">
        <v>42079</v>
      </c>
      <c r="B284" s="22"/>
      <c r="C284" s="27">
        <f>ROUND(17.7975084854167,4)</f>
        <v>17.7975</v>
      </c>
      <c r="D284" s="27">
        <f>F284</f>
        <v>18.163</v>
      </c>
      <c r="E284" s="27">
        <f>F284</f>
        <v>18.163</v>
      </c>
      <c r="F284" s="27">
        <f>ROUND(18.163,4)</f>
        <v>18.163</v>
      </c>
      <c r="G284" s="24"/>
      <c r="H284" s="36"/>
    </row>
    <row r="285" spans="1:8" ht="12.75" customHeight="1">
      <c r="A285" s="22">
        <v>42167</v>
      </c>
      <c r="B285" s="22"/>
      <c r="C285" s="27">
        <f>ROUND(17.7975084854167,4)</f>
        <v>17.7975</v>
      </c>
      <c r="D285" s="27">
        <f>F285</f>
        <v>18.427</v>
      </c>
      <c r="E285" s="27">
        <f>F285</f>
        <v>18.427</v>
      </c>
      <c r="F285" s="27">
        <f>ROUND(18.427,4)</f>
        <v>18.427</v>
      </c>
      <c r="G285" s="24"/>
      <c r="H285" s="36"/>
    </row>
    <row r="286" spans="1:8" ht="12.75" customHeight="1">
      <c r="A286" s="22">
        <v>42261</v>
      </c>
      <c r="B286" s="22"/>
      <c r="C286" s="27">
        <f>ROUND(17.7975084854167,4)</f>
        <v>17.7975</v>
      </c>
      <c r="D286" s="27">
        <f>F286</f>
        <v>18.7176</v>
      </c>
      <c r="E286" s="27">
        <f>F286</f>
        <v>18.7176</v>
      </c>
      <c r="F286" s="27">
        <f>ROUND(18.7176,4)</f>
        <v>18.7176</v>
      </c>
      <c r="G286" s="24"/>
      <c r="H286" s="36"/>
    </row>
    <row r="287" spans="1:8" ht="12.75" customHeight="1">
      <c r="A287" s="22">
        <v>42349</v>
      </c>
      <c r="B287" s="22"/>
      <c r="C287" s="27">
        <f>ROUND(17.7975084854167,4)</f>
        <v>17.7975</v>
      </c>
      <c r="D287" s="27">
        <f>F287</f>
        <v>18.9963</v>
      </c>
      <c r="E287" s="27">
        <f>F287</f>
        <v>18.9963</v>
      </c>
      <c r="F287" s="27">
        <f>ROUND(18.9963,4)</f>
        <v>18.9963</v>
      </c>
      <c r="G287" s="24"/>
      <c r="H287" s="36"/>
    </row>
    <row r="288" spans="1:8" ht="12.75" customHeight="1">
      <c r="A288" s="22">
        <v>42443</v>
      </c>
      <c r="B288" s="22"/>
      <c r="C288" s="27">
        <f>ROUND(17.7975084854167,4)</f>
        <v>17.7975</v>
      </c>
      <c r="D288" s="27">
        <f>F288</f>
        <v>19.289</v>
      </c>
      <c r="E288" s="27">
        <f>F288</f>
        <v>19.289</v>
      </c>
      <c r="F288" s="27">
        <f>ROUND(19.289,4)</f>
        <v>19.289</v>
      </c>
      <c r="G288" s="24"/>
      <c r="H288" s="36"/>
    </row>
    <row r="289" spans="1:8" ht="12.75" customHeight="1">
      <c r="A289" s="22" t="s">
        <v>77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41985</v>
      </c>
      <c r="B290" s="22"/>
      <c r="C290" s="28">
        <f>ROUND(0.0980076494626471,6)</f>
        <v>0.098008</v>
      </c>
      <c r="D290" s="28">
        <f>F290</f>
        <v>0.098509</v>
      </c>
      <c r="E290" s="28">
        <f>F290</f>
        <v>0.098509</v>
      </c>
      <c r="F290" s="28">
        <f>ROUND(0.098509,6)</f>
        <v>0.098509</v>
      </c>
      <c r="G290" s="24"/>
      <c r="H290" s="36"/>
    </row>
    <row r="291" spans="1:8" ht="12.75" customHeight="1">
      <c r="A291" s="22">
        <v>42079</v>
      </c>
      <c r="B291" s="22"/>
      <c r="C291" s="28">
        <f>ROUND(0.0980076494626471,6)</f>
        <v>0.098008</v>
      </c>
      <c r="D291" s="28">
        <f>F291</f>
        <v>0.100261</v>
      </c>
      <c r="E291" s="28">
        <f>F291</f>
        <v>0.100261</v>
      </c>
      <c r="F291" s="28">
        <f>ROUND(0.100261,6)</f>
        <v>0.100261</v>
      </c>
      <c r="G291" s="24"/>
      <c r="H291" s="36"/>
    </row>
    <row r="292" spans="1:8" ht="12.75" customHeight="1">
      <c r="A292" s="22">
        <v>42167</v>
      </c>
      <c r="B292" s="22"/>
      <c r="C292" s="28">
        <f>ROUND(0.0980076494626471,6)</f>
        <v>0.098008</v>
      </c>
      <c r="D292" s="28">
        <f>F292</f>
        <v>0.101924</v>
      </c>
      <c r="E292" s="28">
        <f>F292</f>
        <v>0.101924</v>
      </c>
      <c r="F292" s="28">
        <f>ROUND(0.101924,6)</f>
        <v>0.101924</v>
      </c>
      <c r="G292" s="24"/>
      <c r="H292" s="36"/>
    </row>
    <row r="293" spans="1:8" ht="12.75" customHeight="1">
      <c r="A293" s="22">
        <v>42261</v>
      </c>
      <c r="B293" s="22"/>
      <c r="C293" s="28">
        <f>ROUND(0.0980076494626471,6)</f>
        <v>0.098008</v>
      </c>
      <c r="D293" s="28">
        <f>F293</f>
        <v>0.103793</v>
      </c>
      <c r="E293" s="28">
        <f>F293</f>
        <v>0.103793</v>
      </c>
      <c r="F293" s="28">
        <f>ROUND(0.103793,6)</f>
        <v>0.103793</v>
      </c>
      <c r="G293" s="24"/>
      <c r="H293" s="36"/>
    </row>
    <row r="294" spans="1:8" ht="12.75" customHeight="1">
      <c r="A294" s="22">
        <v>42349</v>
      </c>
      <c r="B294" s="22"/>
      <c r="C294" s="28">
        <f>ROUND(0.0980076494626471,6)</f>
        <v>0.098008</v>
      </c>
      <c r="D294" s="28">
        <f>F294</f>
        <v>0.105647</v>
      </c>
      <c r="E294" s="28">
        <f>F294</f>
        <v>0.105647</v>
      </c>
      <c r="F294" s="28">
        <f>ROUND(0.105647,6)</f>
        <v>0.105647</v>
      </c>
      <c r="G294" s="24"/>
      <c r="H294" s="36"/>
    </row>
    <row r="295" spans="1:8" ht="12.75" customHeight="1">
      <c r="A295" s="22" t="s">
        <v>78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41985</v>
      </c>
      <c r="B296" s="22"/>
      <c r="C296" s="27">
        <f>ROUND(0.125010202188833,4)</f>
        <v>0.125</v>
      </c>
      <c r="D296" s="27">
        <f>F296</f>
        <v>0.1249</v>
      </c>
      <c r="E296" s="27">
        <f>F296</f>
        <v>0.1249</v>
      </c>
      <c r="F296" s="27">
        <f>ROUND(0.1249,4)</f>
        <v>0.1249</v>
      </c>
      <c r="G296" s="24"/>
      <c r="H296" s="36"/>
    </row>
    <row r="297" spans="1:8" ht="12.75" customHeight="1">
      <c r="A297" s="22" t="s">
        <v>79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41985</v>
      </c>
      <c r="B298" s="22"/>
      <c r="C298" s="27">
        <f>ROUND(0.0661133756149722,4)</f>
        <v>0.0661</v>
      </c>
      <c r="D298" s="27">
        <f>F298</f>
        <v>0.0658</v>
      </c>
      <c r="E298" s="27">
        <f>F298</f>
        <v>0.0658</v>
      </c>
      <c r="F298" s="27">
        <f>ROUND(0.0658,4)</f>
        <v>0.0658</v>
      </c>
      <c r="G298" s="24"/>
      <c r="H298" s="36"/>
    </row>
    <row r="299" spans="1:8" ht="12.75" customHeight="1">
      <c r="A299" s="22">
        <v>42079</v>
      </c>
      <c r="B299" s="22"/>
      <c r="C299" s="27">
        <f>ROUND(0.0661133756149722,4)</f>
        <v>0.0661</v>
      </c>
      <c r="D299" s="27">
        <f>F299</f>
        <v>0.0648</v>
      </c>
      <c r="E299" s="27">
        <f>F299</f>
        <v>0.0648</v>
      </c>
      <c r="F299" s="27">
        <f>ROUND(0.0648,4)</f>
        <v>0.0648</v>
      </c>
      <c r="G299" s="24"/>
      <c r="H299" s="36"/>
    </row>
    <row r="300" spans="1:8" ht="12.75" customHeight="1">
      <c r="A300" s="22">
        <v>42167</v>
      </c>
      <c r="B300" s="22"/>
      <c r="C300" s="27">
        <f>ROUND(0.0661133756149722,4)</f>
        <v>0.0661</v>
      </c>
      <c r="D300" s="27">
        <f>F300</f>
        <v>0.0632</v>
      </c>
      <c r="E300" s="27">
        <f>F300</f>
        <v>0.0632</v>
      </c>
      <c r="F300" s="27">
        <f>ROUND(0.0632,4)</f>
        <v>0.0632</v>
      </c>
      <c r="G300" s="24"/>
      <c r="H300" s="36"/>
    </row>
    <row r="301" spans="1:8" ht="12.75" customHeight="1">
      <c r="A301" s="22">
        <v>42261</v>
      </c>
      <c r="B301" s="22"/>
      <c r="C301" s="27">
        <f>ROUND(0.0661133756149722,4)</f>
        <v>0.0661</v>
      </c>
      <c r="D301" s="27">
        <f>F301</f>
        <v>0.0617</v>
      </c>
      <c r="E301" s="27">
        <f>F301</f>
        <v>0.0617</v>
      </c>
      <c r="F301" s="27">
        <f>ROUND(0.0617,4)</f>
        <v>0.0617</v>
      </c>
      <c r="G301" s="24"/>
      <c r="H301" s="36"/>
    </row>
    <row r="302" spans="1:8" ht="12.75" customHeight="1">
      <c r="A302" s="22">
        <v>42349</v>
      </c>
      <c r="B302" s="22"/>
      <c r="C302" s="27">
        <f>ROUND(0.0661133756149722,4)</f>
        <v>0.0661</v>
      </c>
      <c r="D302" s="27">
        <f>F302</f>
        <v>0.0627</v>
      </c>
      <c r="E302" s="27">
        <f>F302</f>
        <v>0.0627</v>
      </c>
      <c r="F302" s="27">
        <f>ROUND(0.0627,4)</f>
        <v>0.0627</v>
      </c>
      <c r="G302" s="24"/>
      <c r="H302" s="36"/>
    </row>
    <row r="303" spans="1:8" ht="12.75" customHeight="1">
      <c r="A303" s="22" t="s">
        <v>80</v>
      </c>
      <c r="B303" s="22"/>
      <c r="C303" s="23"/>
      <c r="D303" s="23"/>
      <c r="E303" s="23"/>
      <c r="F303" s="23"/>
      <c r="G303" s="24"/>
      <c r="H303" s="36"/>
    </row>
    <row r="304" spans="1:8" ht="12.75" customHeight="1">
      <c r="A304" s="22">
        <v>41985</v>
      </c>
      <c r="B304" s="22"/>
      <c r="C304" s="27">
        <f>ROUND(8.68583448333333,4)</f>
        <v>8.6858</v>
      </c>
      <c r="D304" s="27">
        <f>F304</f>
        <v>8.7105</v>
      </c>
      <c r="E304" s="27">
        <f>F304</f>
        <v>8.7105</v>
      </c>
      <c r="F304" s="27">
        <f>ROUND(8.7105,4)</f>
        <v>8.7105</v>
      </c>
      <c r="G304" s="24"/>
      <c r="H304" s="36"/>
    </row>
    <row r="305" spans="1:8" ht="12.75" customHeight="1">
      <c r="A305" s="22" t="s">
        <v>81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41985</v>
      </c>
      <c r="B306" s="22"/>
      <c r="C306" s="27">
        <f>ROUND(4.96888593968886,4)</f>
        <v>4.9689</v>
      </c>
      <c r="D306" s="27">
        <f>F306</f>
        <v>4.9581</v>
      </c>
      <c r="E306" s="27">
        <f>F306</f>
        <v>4.9581</v>
      </c>
      <c r="F306" s="27">
        <f>ROUND(4.9581,4)</f>
        <v>4.9581</v>
      </c>
      <c r="G306" s="24"/>
      <c r="H306" s="36"/>
    </row>
    <row r="307" spans="1:8" ht="12.75" customHeight="1">
      <c r="A307" s="22">
        <v>42079</v>
      </c>
      <c r="B307" s="22"/>
      <c r="C307" s="27">
        <f>ROUND(4.96888593968886,4)</f>
        <v>4.9689</v>
      </c>
      <c r="D307" s="27">
        <f>F307</f>
        <v>4.9355</v>
      </c>
      <c r="E307" s="27">
        <f>F307</f>
        <v>4.9355</v>
      </c>
      <c r="F307" s="27">
        <f>ROUND(4.9355,4)</f>
        <v>4.9355</v>
      </c>
      <c r="G307" s="24"/>
      <c r="H307" s="36"/>
    </row>
    <row r="308" spans="1:8" ht="12.75" customHeight="1">
      <c r="A308" s="22">
        <v>42167</v>
      </c>
      <c r="B308" s="22"/>
      <c r="C308" s="27">
        <f>ROUND(4.96888593968886,4)</f>
        <v>4.9689</v>
      </c>
      <c r="D308" s="27">
        <f>F308</f>
        <v>4.9157</v>
      </c>
      <c r="E308" s="27">
        <f>F308</f>
        <v>4.9157</v>
      </c>
      <c r="F308" s="27">
        <f>ROUND(4.9157,4)</f>
        <v>4.9157</v>
      </c>
      <c r="G308" s="24"/>
      <c r="H308" s="36"/>
    </row>
    <row r="309" spans="1:8" ht="12.75" customHeight="1">
      <c r="A309" s="22" t="s">
        <v>82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41985</v>
      </c>
      <c r="B310" s="22"/>
      <c r="C310" s="27">
        <f>ROUND(11.2321666666667,4)</f>
        <v>11.2322</v>
      </c>
      <c r="D310" s="27">
        <f>F310</f>
        <v>11.2877</v>
      </c>
      <c r="E310" s="27">
        <f>F310</f>
        <v>11.2877</v>
      </c>
      <c r="F310" s="27">
        <f>ROUND(11.2877,4)</f>
        <v>11.2877</v>
      </c>
      <c r="G310" s="24"/>
      <c r="H310" s="36"/>
    </row>
    <row r="311" spans="1:8" ht="12.75" customHeight="1">
      <c r="A311" s="22">
        <v>42079</v>
      </c>
      <c r="B311" s="22"/>
      <c r="C311" s="27">
        <f>ROUND(11.2321666666667,4)</f>
        <v>11.2322</v>
      </c>
      <c r="D311" s="27">
        <f>F311</f>
        <v>11.4751</v>
      </c>
      <c r="E311" s="27">
        <f>F311</f>
        <v>11.4751</v>
      </c>
      <c r="F311" s="27">
        <f>ROUND(11.4751,4)</f>
        <v>11.4751</v>
      </c>
      <c r="G311" s="24"/>
      <c r="H311" s="36"/>
    </row>
    <row r="312" spans="1:8" ht="12.75" customHeight="1">
      <c r="A312" s="22">
        <v>42167</v>
      </c>
      <c r="B312" s="22"/>
      <c r="C312" s="27">
        <f>ROUND(11.2321666666667,4)</f>
        <v>11.2322</v>
      </c>
      <c r="D312" s="27">
        <f>F312</f>
        <v>11.653</v>
      </c>
      <c r="E312" s="27">
        <f>F312</f>
        <v>11.653</v>
      </c>
      <c r="F312" s="27">
        <f>ROUND(11.653,4)</f>
        <v>11.653</v>
      </c>
      <c r="G312" s="24"/>
      <c r="H312" s="36"/>
    </row>
    <row r="313" spans="1:8" ht="12.75" customHeight="1">
      <c r="A313" s="22">
        <v>42261</v>
      </c>
      <c r="B313" s="22"/>
      <c r="C313" s="27">
        <f>ROUND(11.2321666666667,4)</f>
        <v>11.2322</v>
      </c>
      <c r="D313" s="27">
        <f>F313</f>
        <v>11.8489</v>
      </c>
      <c r="E313" s="27">
        <f>F313</f>
        <v>11.8489</v>
      </c>
      <c r="F313" s="27">
        <f>ROUND(11.8489,4)</f>
        <v>11.8489</v>
      </c>
      <c r="G313" s="24"/>
      <c r="H313" s="36"/>
    </row>
    <row r="314" spans="1:8" ht="12.75" customHeight="1">
      <c r="A314" s="22" t="s">
        <v>83</v>
      </c>
      <c r="B314" s="22"/>
      <c r="C314" s="23"/>
      <c r="D314" s="23"/>
      <c r="E314" s="23"/>
      <c r="F314" s="23"/>
      <c r="G314" s="24"/>
      <c r="H314" s="36"/>
    </row>
    <row r="315" spans="1:8" ht="12.75" customHeight="1">
      <c r="A315" s="22">
        <v>41985</v>
      </c>
      <c r="B315" s="22"/>
      <c r="C315" s="27">
        <f>ROUND(11.2321666666667,4)</f>
        <v>11.2322</v>
      </c>
      <c r="D315" s="27">
        <f>F315</f>
        <v>11.2877</v>
      </c>
      <c r="E315" s="27">
        <f>F315</f>
        <v>11.2877</v>
      </c>
      <c r="F315" s="27">
        <f>ROUND(11.2877,4)</f>
        <v>11.2877</v>
      </c>
      <c r="G315" s="24"/>
      <c r="H315" s="36"/>
    </row>
    <row r="316" spans="1:8" ht="12.75" customHeight="1">
      <c r="A316" s="22">
        <v>42079</v>
      </c>
      <c r="B316" s="22"/>
      <c r="C316" s="27">
        <f>ROUND(11.2321666666667,4)</f>
        <v>11.2322</v>
      </c>
      <c r="D316" s="27">
        <f>F316</f>
        <v>11.4751</v>
      </c>
      <c r="E316" s="27">
        <f>F316</f>
        <v>11.4751</v>
      </c>
      <c r="F316" s="27">
        <f>ROUND(11.4751,4)</f>
        <v>11.4751</v>
      </c>
      <c r="G316" s="24"/>
      <c r="H316" s="36"/>
    </row>
    <row r="317" spans="1:8" ht="12.75" customHeight="1">
      <c r="A317" s="22">
        <v>42167</v>
      </c>
      <c r="B317" s="22"/>
      <c r="C317" s="27">
        <f>ROUND(11.2321666666667,4)</f>
        <v>11.2322</v>
      </c>
      <c r="D317" s="27">
        <f>F317</f>
        <v>11.653</v>
      </c>
      <c r="E317" s="27">
        <f>F317</f>
        <v>11.653</v>
      </c>
      <c r="F317" s="27">
        <f>ROUND(11.653,4)</f>
        <v>11.653</v>
      </c>
      <c r="G317" s="24"/>
      <c r="H317" s="36"/>
    </row>
    <row r="318" spans="1:8" ht="12.75" customHeight="1">
      <c r="A318" s="22">
        <v>42261</v>
      </c>
      <c r="B318" s="22"/>
      <c r="C318" s="27">
        <f>ROUND(11.2321666666667,4)</f>
        <v>11.2322</v>
      </c>
      <c r="D318" s="27">
        <f>F318</f>
        <v>11.8489</v>
      </c>
      <c r="E318" s="27">
        <f>F318</f>
        <v>11.8489</v>
      </c>
      <c r="F318" s="27">
        <f>ROUND(11.8489,4)</f>
        <v>11.8489</v>
      </c>
      <c r="G318" s="24"/>
      <c r="H318" s="36"/>
    </row>
    <row r="319" spans="1:8" ht="12.75" customHeight="1">
      <c r="A319" s="22">
        <v>42349</v>
      </c>
      <c r="B319" s="22"/>
      <c r="C319" s="27">
        <f>ROUND(11.2321666666667,4)</f>
        <v>11.2322</v>
      </c>
      <c r="D319" s="27">
        <f>F319</f>
        <v>12.0345</v>
      </c>
      <c r="E319" s="27">
        <f>F319</f>
        <v>12.0345</v>
      </c>
      <c r="F319" s="27">
        <f>ROUND(12.0345,4)</f>
        <v>12.0345</v>
      </c>
      <c r="G319" s="24"/>
      <c r="H319" s="36"/>
    </row>
    <row r="320" spans="1:8" ht="12.75" customHeight="1">
      <c r="A320" s="22">
        <v>42443</v>
      </c>
      <c r="B320" s="22"/>
      <c r="C320" s="27">
        <f>ROUND(11.2321666666667,4)</f>
        <v>11.2322</v>
      </c>
      <c r="D320" s="27">
        <f>F320</f>
        <v>12.2273</v>
      </c>
      <c r="E320" s="27">
        <f>F320</f>
        <v>12.2273</v>
      </c>
      <c r="F320" s="27">
        <f>ROUND(12.2273,4)</f>
        <v>12.2273</v>
      </c>
      <c r="G320" s="24"/>
      <c r="H320" s="36"/>
    </row>
    <row r="321" spans="1:8" ht="12.75" customHeight="1">
      <c r="A321" s="22">
        <v>42534</v>
      </c>
      <c r="B321" s="22"/>
      <c r="C321" s="27">
        <f>ROUND(11.2321666666667,4)</f>
        <v>11.2322</v>
      </c>
      <c r="D321" s="27">
        <f>F321</f>
        <v>12.4139</v>
      </c>
      <c r="E321" s="27">
        <f>F321</f>
        <v>12.4139</v>
      </c>
      <c r="F321" s="27">
        <f>ROUND(12.4139,4)</f>
        <v>12.4139</v>
      </c>
      <c r="G321" s="24"/>
      <c r="H321" s="36"/>
    </row>
    <row r="322" spans="1:8" ht="12.75" customHeight="1">
      <c r="A322" s="22">
        <v>42632</v>
      </c>
      <c r="B322" s="22"/>
      <c r="C322" s="27">
        <f>ROUND(11.2321666666667,4)</f>
        <v>11.2322</v>
      </c>
      <c r="D322" s="27">
        <f>F322</f>
        <v>12.6149</v>
      </c>
      <c r="E322" s="27">
        <f>F322</f>
        <v>12.6149</v>
      </c>
      <c r="F322" s="27">
        <f>ROUND(12.6149,4)</f>
        <v>12.6149</v>
      </c>
      <c r="G322" s="24"/>
      <c r="H322" s="36"/>
    </row>
    <row r="323" spans="1:8" ht="12.75" customHeight="1">
      <c r="A323" s="22">
        <v>42723</v>
      </c>
      <c r="B323" s="22"/>
      <c r="C323" s="27">
        <f>ROUND(11.2321666666667,4)</f>
        <v>11.2322</v>
      </c>
      <c r="D323" s="27">
        <f>F323</f>
        <v>12.8015</v>
      </c>
      <c r="E323" s="27">
        <f>F323</f>
        <v>12.8015</v>
      </c>
      <c r="F323" s="27">
        <f>ROUND(12.8015,4)</f>
        <v>12.8015</v>
      </c>
      <c r="G323" s="24"/>
      <c r="H323" s="36"/>
    </row>
    <row r="324" spans="1:8" ht="12.75" customHeight="1">
      <c r="A324" s="22">
        <v>42807</v>
      </c>
      <c r="B324" s="22"/>
      <c r="C324" s="27">
        <f>ROUND(11.2321666666667,4)</f>
        <v>11.2322</v>
      </c>
      <c r="D324" s="27">
        <f>F324</f>
        <v>12.9738</v>
      </c>
      <c r="E324" s="27">
        <f>F324</f>
        <v>12.9738</v>
      </c>
      <c r="F324" s="27">
        <f>ROUND(12.9738,4)</f>
        <v>12.9738</v>
      </c>
      <c r="G324" s="24"/>
      <c r="H324" s="36"/>
    </row>
    <row r="325" spans="1:8" ht="12.75" customHeight="1">
      <c r="A325" s="22" t="s">
        <v>84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41985</v>
      </c>
      <c r="B326" s="22"/>
      <c r="C326" s="27">
        <f>ROUND(1.76550874986901,4)</f>
        <v>1.7655</v>
      </c>
      <c r="D326" s="27">
        <f>F326</f>
        <v>1.7503</v>
      </c>
      <c r="E326" s="27">
        <f>F326</f>
        <v>1.7503</v>
      </c>
      <c r="F326" s="27">
        <f>ROUND(1.7503,4)</f>
        <v>1.7503</v>
      </c>
      <c r="G326" s="24"/>
      <c r="H326" s="36"/>
    </row>
    <row r="327" spans="1:8" ht="12.75" customHeight="1">
      <c r="A327" s="22" t="s">
        <v>85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42040</v>
      </c>
      <c r="B328" s="22"/>
      <c r="C328" s="26">
        <f>ROUND(521.567,3)</f>
        <v>521.567</v>
      </c>
      <c r="D328" s="26">
        <f>F328</f>
        <v>529.463</v>
      </c>
      <c r="E328" s="26">
        <f>F328</f>
        <v>529.463</v>
      </c>
      <c r="F328" s="26">
        <f>ROUND(529.463,3)</f>
        <v>529.463</v>
      </c>
      <c r="G328" s="24"/>
      <c r="H328" s="36"/>
    </row>
    <row r="329" spans="1:8" ht="12.75" customHeight="1">
      <c r="A329" s="22">
        <v>42131</v>
      </c>
      <c r="B329" s="22"/>
      <c r="C329" s="26">
        <f>ROUND(521.567,3)</f>
        <v>521.567</v>
      </c>
      <c r="D329" s="26">
        <f>F329</f>
        <v>538.172</v>
      </c>
      <c r="E329" s="26">
        <f>F329</f>
        <v>538.172</v>
      </c>
      <c r="F329" s="26">
        <f>ROUND(538.172,3)</f>
        <v>538.172</v>
      </c>
      <c r="G329" s="24"/>
      <c r="H329" s="36"/>
    </row>
    <row r="330" spans="1:8" ht="12.75" customHeight="1">
      <c r="A330" s="22">
        <v>42222</v>
      </c>
      <c r="B330" s="22"/>
      <c r="C330" s="26">
        <f>ROUND(521.567,3)</f>
        <v>521.567</v>
      </c>
      <c r="D330" s="26">
        <f>F330</f>
        <v>547.394</v>
      </c>
      <c r="E330" s="26">
        <f>F330</f>
        <v>547.394</v>
      </c>
      <c r="F330" s="26">
        <f>ROUND(547.394,3)</f>
        <v>547.394</v>
      </c>
      <c r="G330" s="24"/>
      <c r="H330" s="36"/>
    </row>
    <row r="331" spans="1:8" ht="12.75" customHeight="1">
      <c r="A331" s="22">
        <v>42313</v>
      </c>
      <c r="B331" s="22"/>
      <c r="C331" s="26">
        <f>ROUND(521.567,3)</f>
        <v>521.567</v>
      </c>
      <c r="D331" s="26">
        <f>F331</f>
        <v>557.423</v>
      </c>
      <c r="E331" s="26">
        <f>F331</f>
        <v>557.423</v>
      </c>
      <c r="F331" s="26">
        <f>ROUND(557.423,3)</f>
        <v>557.423</v>
      </c>
      <c r="G331" s="24"/>
      <c r="H331" s="36"/>
    </row>
    <row r="332" spans="1:8" ht="12.75" customHeight="1">
      <c r="A332" s="22" t="s">
        <v>86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42040</v>
      </c>
      <c r="B333" s="22"/>
      <c r="C333" s="26">
        <f>ROUND(441.101,3)</f>
        <v>441.101</v>
      </c>
      <c r="D333" s="26">
        <f>F333</f>
        <v>447.779</v>
      </c>
      <c r="E333" s="26">
        <f>F333</f>
        <v>447.779</v>
      </c>
      <c r="F333" s="26">
        <f>ROUND(447.779,3)</f>
        <v>447.779</v>
      </c>
      <c r="G333" s="24"/>
      <c r="H333" s="36"/>
    </row>
    <row r="334" spans="1:8" ht="12.75" customHeight="1">
      <c r="A334" s="22">
        <v>42131</v>
      </c>
      <c r="B334" s="22"/>
      <c r="C334" s="26">
        <f>ROUND(441.101,3)</f>
        <v>441.101</v>
      </c>
      <c r="D334" s="26">
        <f>F334</f>
        <v>455.144</v>
      </c>
      <c r="E334" s="26">
        <f>F334</f>
        <v>455.144</v>
      </c>
      <c r="F334" s="26">
        <f>ROUND(455.144,3)</f>
        <v>455.144</v>
      </c>
      <c r="G334" s="24"/>
      <c r="H334" s="36"/>
    </row>
    <row r="335" spans="1:8" ht="12.75" customHeight="1">
      <c r="A335" s="22">
        <v>42222</v>
      </c>
      <c r="B335" s="22"/>
      <c r="C335" s="26">
        <f>ROUND(441.101,3)</f>
        <v>441.101</v>
      </c>
      <c r="D335" s="26">
        <f>F335</f>
        <v>462.944</v>
      </c>
      <c r="E335" s="26">
        <f>F335</f>
        <v>462.944</v>
      </c>
      <c r="F335" s="26">
        <f>ROUND(462.944,3)</f>
        <v>462.944</v>
      </c>
      <c r="G335" s="24"/>
      <c r="H335" s="36"/>
    </row>
    <row r="336" spans="1:8" ht="12.75" customHeight="1">
      <c r="A336" s="22">
        <v>42313</v>
      </c>
      <c r="B336" s="22"/>
      <c r="C336" s="26">
        <f>ROUND(441.101,3)</f>
        <v>441.101</v>
      </c>
      <c r="D336" s="26">
        <f>F336</f>
        <v>471.425</v>
      </c>
      <c r="E336" s="26">
        <f>F336</f>
        <v>471.425</v>
      </c>
      <c r="F336" s="26">
        <f>ROUND(471.425,3)</f>
        <v>471.425</v>
      </c>
      <c r="G336" s="24"/>
      <c r="H336" s="36"/>
    </row>
    <row r="337" spans="1:8" ht="12.75" customHeight="1">
      <c r="A337" s="22" t="s">
        <v>87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42040</v>
      </c>
      <c r="B338" s="22"/>
      <c r="C338" s="26">
        <f>ROUND(520.62,3)</f>
        <v>520.62</v>
      </c>
      <c r="D338" s="26">
        <f>F338</f>
        <v>528.502</v>
      </c>
      <c r="E338" s="26">
        <f>F338</f>
        <v>528.502</v>
      </c>
      <c r="F338" s="26">
        <f>ROUND(528.502,3)</f>
        <v>528.502</v>
      </c>
      <c r="G338" s="24"/>
      <c r="H338" s="36"/>
    </row>
    <row r="339" spans="1:8" ht="12.75" customHeight="1">
      <c r="A339" s="22">
        <v>42131</v>
      </c>
      <c r="B339" s="22"/>
      <c r="C339" s="26">
        <f>ROUND(520.62,3)</f>
        <v>520.62</v>
      </c>
      <c r="D339" s="26">
        <f>F339</f>
        <v>537.195</v>
      </c>
      <c r="E339" s="26">
        <f>F339</f>
        <v>537.195</v>
      </c>
      <c r="F339" s="26">
        <f>ROUND(537.195,3)</f>
        <v>537.195</v>
      </c>
      <c r="G339" s="24"/>
      <c r="H339" s="36"/>
    </row>
    <row r="340" spans="1:8" ht="12.75" customHeight="1">
      <c r="A340" s="22">
        <v>42222</v>
      </c>
      <c r="B340" s="22"/>
      <c r="C340" s="26">
        <f>ROUND(520.62,3)</f>
        <v>520.62</v>
      </c>
      <c r="D340" s="26">
        <f>F340</f>
        <v>546.401</v>
      </c>
      <c r="E340" s="26">
        <f>F340</f>
        <v>546.401</v>
      </c>
      <c r="F340" s="26">
        <f>ROUND(546.401,3)</f>
        <v>546.401</v>
      </c>
      <c r="G340" s="24"/>
      <c r="H340" s="36"/>
    </row>
    <row r="341" spans="1:8" ht="12.75" customHeight="1">
      <c r="A341" s="22">
        <v>42313</v>
      </c>
      <c r="B341" s="22"/>
      <c r="C341" s="26">
        <f>ROUND(520.62,3)</f>
        <v>520.62</v>
      </c>
      <c r="D341" s="26">
        <f>F341</f>
        <v>556.411</v>
      </c>
      <c r="E341" s="26">
        <f>F341</f>
        <v>556.411</v>
      </c>
      <c r="F341" s="26">
        <f>ROUND(556.411,3)</f>
        <v>556.411</v>
      </c>
      <c r="G341" s="24"/>
      <c r="H341" s="36"/>
    </row>
    <row r="342" spans="1:8" ht="12.75" customHeight="1">
      <c r="A342" s="22" t="s">
        <v>88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42040</v>
      </c>
      <c r="B343" s="22"/>
      <c r="C343" s="26">
        <f>ROUND(473.746,3)</f>
        <v>473.746</v>
      </c>
      <c r="D343" s="26">
        <f>F343</f>
        <v>480.918</v>
      </c>
      <c r="E343" s="26">
        <f>F343</f>
        <v>480.918</v>
      </c>
      <c r="F343" s="26">
        <f>ROUND(480.918,3)</f>
        <v>480.918</v>
      </c>
      <c r="G343" s="24"/>
      <c r="H343" s="36"/>
    </row>
    <row r="344" spans="1:8" ht="12.75" customHeight="1">
      <c r="A344" s="22">
        <v>42131</v>
      </c>
      <c r="B344" s="22"/>
      <c r="C344" s="26">
        <f>ROUND(473.746,3)</f>
        <v>473.746</v>
      </c>
      <c r="D344" s="26">
        <f>F344</f>
        <v>488.828</v>
      </c>
      <c r="E344" s="26">
        <f>F344</f>
        <v>488.828</v>
      </c>
      <c r="F344" s="26">
        <f>ROUND(488.828,3)</f>
        <v>488.828</v>
      </c>
      <c r="G344" s="24"/>
      <c r="H344" s="36"/>
    </row>
    <row r="345" spans="1:8" ht="12.75" customHeight="1">
      <c r="A345" s="22">
        <v>42222</v>
      </c>
      <c r="B345" s="22"/>
      <c r="C345" s="26">
        <f>ROUND(473.746,3)</f>
        <v>473.746</v>
      </c>
      <c r="D345" s="26">
        <f>F345</f>
        <v>497.205</v>
      </c>
      <c r="E345" s="26">
        <f>F345</f>
        <v>497.205</v>
      </c>
      <c r="F345" s="26">
        <f>ROUND(497.205,3)</f>
        <v>497.205</v>
      </c>
      <c r="G345" s="24"/>
      <c r="H345" s="36"/>
    </row>
    <row r="346" spans="1:8" ht="12.75" customHeight="1">
      <c r="A346" s="22">
        <v>42313</v>
      </c>
      <c r="B346" s="22"/>
      <c r="C346" s="26">
        <f>ROUND(473.746,3)</f>
        <v>473.746</v>
      </c>
      <c r="D346" s="26">
        <f>F346</f>
        <v>506.314</v>
      </c>
      <c r="E346" s="26">
        <f>F346</f>
        <v>506.314</v>
      </c>
      <c r="F346" s="26">
        <f>ROUND(506.314,3)</f>
        <v>506.314</v>
      </c>
      <c r="G346" s="24"/>
      <c r="H346" s="36"/>
    </row>
    <row r="347" spans="1:8" ht="12.75" customHeight="1">
      <c r="A347" s="22" t="s">
        <v>89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42040</v>
      </c>
      <c r="B348" s="22"/>
      <c r="C348" s="26">
        <f>ROUND(222.441611635703,3)</f>
        <v>222.442</v>
      </c>
      <c r="D348" s="26">
        <f>F348</f>
        <v>225.837</v>
      </c>
      <c r="E348" s="26">
        <f>F348</f>
        <v>225.837</v>
      </c>
      <c r="F348" s="26">
        <f>ROUND(225.837,3)</f>
        <v>225.837</v>
      </c>
      <c r="G348" s="24"/>
      <c r="H348" s="36"/>
    </row>
    <row r="349" spans="1:8" ht="12.75" customHeight="1">
      <c r="A349" s="22">
        <v>42131</v>
      </c>
      <c r="B349" s="22"/>
      <c r="C349" s="26">
        <f>ROUND(222.441611635703,3)</f>
        <v>222.442</v>
      </c>
      <c r="D349" s="26">
        <f>F349</f>
        <v>229.578</v>
      </c>
      <c r="E349" s="26">
        <f>F349</f>
        <v>229.578</v>
      </c>
      <c r="F349" s="26">
        <f>ROUND(229.578,3)</f>
        <v>229.578</v>
      </c>
      <c r="G349" s="24"/>
      <c r="H349" s="36"/>
    </row>
    <row r="350" spans="1:8" ht="12.75" customHeight="1">
      <c r="A350" s="22">
        <v>42222</v>
      </c>
      <c r="B350" s="22"/>
      <c r="C350" s="26">
        <f>ROUND(222.441611635703,3)</f>
        <v>222.442</v>
      </c>
      <c r="D350" s="26">
        <f>F350</f>
        <v>233.54</v>
      </c>
      <c r="E350" s="26">
        <f>F350</f>
        <v>233.54</v>
      </c>
      <c r="F350" s="26">
        <f>ROUND(233.54,3)</f>
        <v>233.54</v>
      </c>
      <c r="G350" s="24"/>
      <c r="H350" s="36"/>
    </row>
    <row r="351" spans="1:8" ht="12.75" customHeight="1">
      <c r="A351" s="22">
        <v>42313</v>
      </c>
      <c r="B351" s="22"/>
      <c r="C351" s="26">
        <f>ROUND(222.441611635703,3)</f>
        <v>222.442</v>
      </c>
      <c r="D351" s="26">
        <f>F351</f>
        <v>237.844</v>
      </c>
      <c r="E351" s="26">
        <f>F351</f>
        <v>237.844</v>
      </c>
      <c r="F351" s="26">
        <f>ROUND(237.844,3)</f>
        <v>237.844</v>
      </c>
      <c r="G351" s="24"/>
      <c r="H351" s="36"/>
    </row>
    <row r="352" spans="1:8" ht="12.75" customHeight="1">
      <c r="A352" s="22" t="s">
        <v>90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42040</v>
      </c>
      <c r="B353" s="22"/>
      <c r="C353" s="26">
        <f>ROUND(602.693825073182,3)</f>
        <v>602.694</v>
      </c>
      <c r="D353" s="26">
        <f>F353</f>
        <v>611.92</v>
      </c>
      <c r="E353" s="26">
        <f>F353</f>
        <v>611.92</v>
      </c>
      <c r="F353" s="26">
        <f>ROUND(611.92,3)</f>
        <v>611.92</v>
      </c>
      <c r="G353" s="24"/>
      <c r="H353" s="36"/>
    </row>
    <row r="354" spans="1:8" ht="12.75" customHeight="1">
      <c r="A354" s="22">
        <v>42131</v>
      </c>
      <c r="B354" s="22"/>
      <c r="C354" s="26">
        <f>ROUND(602.693825073182,3)</f>
        <v>602.694</v>
      </c>
      <c r="D354" s="26">
        <f>F354</f>
        <v>621.996</v>
      </c>
      <c r="E354" s="26">
        <f>F354</f>
        <v>621.996</v>
      </c>
      <c r="F354" s="26">
        <f>ROUND(621.996,3)</f>
        <v>621.996</v>
      </c>
      <c r="G354" s="24"/>
      <c r="H354" s="36"/>
    </row>
    <row r="355" spans="1:8" ht="12.75" customHeight="1">
      <c r="A355" s="22">
        <v>42222</v>
      </c>
      <c r="B355" s="22"/>
      <c r="C355" s="26">
        <f>ROUND(602.693825073182,3)</f>
        <v>602.694</v>
      </c>
      <c r="D355" s="26">
        <f>F355</f>
        <v>632.353</v>
      </c>
      <c r="E355" s="26">
        <f>F355</f>
        <v>632.353</v>
      </c>
      <c r="F355" s="26">
        <f>ROUND(632.353,3)</f>
        <v>632.353</v>
      </c>
      <c r="G355" s="24"/>
      <c r="H355" s="36"/>
    </row>
    <row r="356" spans="1:8" ht="12.75" customHeight="1">
      <c r="A356" s="22">
        <v>42313</v>
      </c>
      <c r="B356" s="22"/>
      <c r="C356" s="26">
        <f>ROUND(602.693825073182,3)</f>
        <v>602.694</v>
      </c>
      <c r="D356" s="26">
        <f>F356</f>
        <v>644.096</v>
      </c>
      <c r="E356" s="26">
        <f>F356</f>
        <v>644.096</v>
      </c>
      <c r="F356" s="26">
        <f>ROUND(644.096,3)</f>
        <v>644.096</v>
      </c>
      <c r="G356" s="24"/>
      <c r="H356" s="36"/>
    </row>
    <row r="357" spans="1:8" ht="12.75" customHeight="1">
      <c r="A357" s="22" t="s">
        <v>91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41985</v>
      </c>
      <c r="B358" s="22"/>
      <c r="C358" s="24">
        <f>ROUND(20997.32,2)</f>
        <v>20997.32</v>
      </c>
      <c r="D358" s="24">
        <f>F358</f>
        <v>21067.54</v>
      </c>
      <c r="E358" s="24">
        <f>F358</f>
        <v>21067.54</v>
      </c>
      <c r="F358" s="24">
        <f>ROUND(21067.54,2)</f>
        <v>21067.54</v>
      </c>
      <c r="G358" s="24"/>
      <c r="H358" s="36"/>
    </row>
    <row r="359" spans="1:8" ht="12.75" customHeight="1">
      <c r="A359" s="22">
        <v>42079</v>
      </c>
      <c r="B359" s="22"/>
      <c r="C359" s="24">
        <f>ROUND(20997.32,2)</f>
        <v>20997.32</v>
      </c>
      <c r="D359" s="24">
        <f>F359</f>
        <v>21381.93</v>
      </c>
      <c r="E359" s="24">
        <f>F359</f>
        <v>21381.93</v>
      </c>
      <c r="F359" s="24">
        <f>ROUND(21381.93,2)</f>
        <v>21381.93</v>
      </c>
      <c r="G359" s="24"/>
      <c r="H359" s="36"/>
    </row>
    <row r="360" spans="1:8" ht="12.75" customHeight="1">
      <c r="A360" s="22">
        <v>42167</v>
      </c>
      <c r="B360" s="22"/>
      <c r="C360" s="24">
        <f>ROUND(20997.32,2)</f>
        <v>20997.32</v>
      </c>
      <c r="D360" s="24">
        <f>F360</f>
        <v>21685.64</v>
      </c>
      <c r="E360" s="24">
        <f>F360</f>
        <v>21685.64</v>
      </c>
      <c r="F360" s="24">
        <f>ROUND(21685.64,2)</f>
        <v>21685.64</v>
      </c>
      <c r="G360" s="24"/>
      <c r="H360" s="36"/>
    </row>
    <row r="361" spans="1:8" ht="12.75" customHeight="1">
      <c r="A361" s="22" t="s">
        <v>92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41962</v>
      </c>
      <c r="B362" s="22"/>
      <c r="C362" s="26">
        <f>ROUND(6.083,3)</f>
        <v>6.083</v>
      </c>
      <c r="D362" s="26">
        <f>ROUND(6.16,3)</f>
        <v>6.16</v>
      </c>
      <c r="E362" s="26">
        <f>ROUND(6.06,3)</f>
        <v>6.06</v>
      </c>
      <c r="F362" s="26">
        <f>ROUND(6.11,3)</f>
        <v>6.11</v>
      </c>
      <c r="G362" s="24"/>
      <c r="H362" s="36"/>
    </row>
    <row r="363" spans="1:8" ht="12.75" customHeight="1">
      <c r="A363" s="22">
        <v>41990</v>
      </c>
      <c r="B363" s="22"/>
      <c r="C363" s="26">
        <f>ROUND(6.083,3)</f>
        <v>6.083</v>
      </c>
      <c r="D363" s="26">
        <f>ROUND(6.24,3)</f>
        <v>6.24</v>
      </c>
      <c r="E363" s="26">
        <f>ROUND(6.14,3)</f>
        <v>6.14</v>
      </c>
      <c r="F363" s="26">
        <f>ROUND(6.19,3)</f>
        <v>6.19</v>
      </c>
      <c r="G363" s="24"/>
      <c r="H363" s="36"/>
    </row>
    <row r="364" spans="1:8" ht="12.75" customHeight="1">
      <c r="A364" s="22">
        <v>42025</v>
      </c>
      <c r="B364" s="22"/>
      <c r="C364" s="26">
        <f>ROUND(6.083,3)</f>
        <v>6.083</v>
      </c>
      <c r="D364" s="26">
        <f>ROUND(6.32,3)</f>
        <v>6.32</v>
      </c>
      <c r="E364" s="26">
        <f>ROUND(6.22,3)</f>
        <v>6.22</v>
      </c>
      <c r="F364" s="26">
        <f>ROUND(6.27,3)</f>
        <v>6.27</v>
      </c>
      <c r="G364" s="24"/>
      <c r="H364" s="36"/>
    </row>
    <row r="365" spans="1:8" ht="12.75" customHeight="1">
      <c r="A365" s="22">
        <v>42053</v>
      </c>
      <c r="B365" s="22"/>
      <c r="C365" s="26">
        <f>ROUND(6.083,3)</f>
        <v>6.083</v>
      </c>
      <c r="D365" s="26">
        <f>ROUND(6.4,3)</f>
        <v>6.4</v>
      </c>
      <c r="E365" s="26">
        <f>ROUND(6.3,3)</f>
        <v>6.3</v>
      </c>
      <c r="F365" s="26">
        <f>ROUND(6.35,3)</f>
        <v>6.35</v>
      </c>
      <c r="G365" s="24"/>
      <c r="H365" s="36"/>
    </row>
    <row r="366" spans="1:8" ht="12.75" customHeight="1">
      <c r="A366" s="22">
        <v>42081</v>
      </c>
      <c r="B366" s="22"/>
      <c r="C366" s="26">
        <f>ROUND(6.083,3)</f>
        <v>6.083</v>
      </c>
      <c r="D366" s="26">
        <f>ROUND(6.46,3)</f>
        <v>6.46</v>
      </c>
      <c r="E366" s="26">
        <f>ROUND(6.36,3)</f>
        <v>6.36</v>
      </c>
      <c r="F366" s="26">
        <f>ROUND(6.41,3)</f>
        <v>6.41</v>
      </c>
      <c r="G366" s="24"/>
      <c r="H366" s="36"/>
    </row>
    <row r="367" spans="1:8" ht="12.75" customHeight="1">
      <c r="A367" s="22">
        <v>42109</v>
      </c>
      <c r="B367" s="22"/>
      <c r="C367" s="26">
        <f>ROUND(6.083,3)</f>
        <v>6.083</v>
      </c>
      <c r="D367" s="26">
        <f>ROUND(6.55,3)</f>
        <v>6.55</v>
      </c>
      <c r="E367" s="26">
        <f>ROUND(6.45,3)</f>
        <v>6.45</v>
      </c>
      <c r="F367" s="26">
        <f>ROUND(6.5,3)</f>
        <v>6.5</v>
      </c>
      <c r="G367" s="24"/>
      <c r="H367" s="36"/>
    </row>
    <row r="368" spans="1:8" ht="12.75" customHeight="1">
      <c r="A368" s="22">
        <v>42172</v>
      </c>
      <c r="B368" s="22"/>
      <c r="C368" s="26">
        <f>ROUND(6.083,3)</f>
        <v>6.083</v>
      </c>
      <c r="D368" s="26">
        <f>ROUND(6.69,3)</f>
        <v>6.69</v>
      </c>
      <c r="E368" s="26">
        <f>ROUND(6.59,3)</f>
        <v>6.59</v>
      </c>
      <c r="F368" s="26">
        <f>ROUND(6.64,3)</f>
        <v>6.64</v>
      </c>
      <c r="G368" s="24"/>
      <c r="H368" s="36"/>
    </row>
    <row r="369" spans="1:8" ht="12.75" customHeight="1">
      <c r="A369" s="22">
        <v>42263</v>
      </c>
      <c r="B369" s="22"/>
      <c r="C369" s="26">
        <f>ROUND(6.083,3)</f>
        <v>6.083</v>
      </c>
      <c r="D369" s="26">
        <f>ROUND(6.89,3)</f>
        <v>6.89</v>
      </c>
      <c r="E369" s="26">
        <f>ROUND(6.79,3)</f>
        <v>6.79</v>
      </c>
      <c r="F369" s="26">
        <f>ROUND(6.84,3)</f>
        <v>6.84</v>
      </c>
      <c r="G369" s="24"/>
      <c r="H369" s="36"/>
    </row>
    <row r="370" spans="1:8" ht="12.75" customHeight="1">
      <c r="A370" s="22">
        <v>42353</v>
      </c>
      <c r="B370" s="22"/>
      <c r="C370" s="26">
        <f>ROUND(6.083,3)</f>
        <v>6.083</v>
      </c>
      <c r="D370" s="26">
        <f>ROUND(7.04,3)</f>
        <v>7.04</v>
      </c>
      <c r="E370" s="26">
        <f>ROUND(6.94,3)</f>
        <v>6.94</v>
      </c>
      <c r="F370" s="26">
        <f>ROUND(6.99,3)</f>
        <v>6.99</v>
      </c>
      <c r="G370" s="24"/>
      <c r="H370" s="36"/>
    </row>
    <row r="371" spans="1:8" ht="12.75" customHeight="1">
      <c r="A371" s="22">
        <v>42445</v>
      </c>
      <c r="B371" s="22"/>
      <c r="C371" s="26">
        <f>ROUND(6.083,3)</f>
        <v>6.083</v>
      </c>
      <c r="D371" s="26">
        <f>ROUND(7.2,3)</f>
        <v>7.2</v>
      </c>
      <c r="E371" s="26">
        <f>ROUND(7.1,3)</f>
        <v>7.1</v>
      </c>
      <c r="F371" s="26">
        <f>ROUND(7.15,3)</f>
        <v>7.15</v>
      </c>
      <c r="G371" s="24"/>
      <c r="H371" s="36"/>
    </row>
    <row r="372" spans="1:8" ht="12.75" customHeight="1">
      <c r="A372" s="22">
        <v>42536</v>
      </c>
      <c r="B372" s="22"/>
      <c r="C372" s="26">
        <f>ROUND(6.083,3)</f>
        <v>6.083</v>
      </c>
      <c r="D372" s="26">
        <f>ROUND(7.31,3)</f>
        <v>7.31</v>
      </c>
      <c r="E372" s="26">
        <f>ROUND(7.21,3)</f>
        <v>7.21</v>
      </c>
      <c r="F372" s="26">
        <f>ROUND(7.26,3)</f>
        <v>7.26</v>
      </c>
      <c r="G372" s="24"/>
      <c r="H372" s="36"/>
    </row>
    <row r="373" spans="1:8" ht="12.75" customHeight="1">
      <c r="A373" s="22">
        <v>42634</v>
      </c>
      <c r="B373" s="22"/>
      <c r="C373" s="26">
        <f>ROUND(6.083,3)</f>
        <v>6.083</v>
      </c>
      <c r="D373" s="26">
        <f>ROUND(7.44,3)</f>
        <v>7.44</v>
      </c>
      <c r="E373" s="26">
        <f>ROUND(7.34,3)</f>
        <v>7.34</v>
      </c>
      <c r="F373" s="26">
        <f>ROUND(7.39,3)</f>
        <v>7.39</v>
      </c>
      <c r="G373" s="24"/>
      <c r="H373" s="36"/>
    </row>
    <row r="374" spans="1:8" ht="12.75" customHeight="1">
      <c r="A374" s="22" t="s">
        <v>93</v>
      </c>
      <c r="B374" s="22"/>
      <c r="C374" s="23"/>
      <c r="D374" s="23"/>
      <c r="E374" s="23"/>
      <c r="F374" s="23"/>
      <c r="G374" s="24"/>
      <c r="H374" s="36"/>
    </row>
    <row r="375" spans="1:8" ht="12.75" customHeight="1">
      <c r="A375" s="22">
        <v>42040</v>
      </c>
      <c r="B375" s="22"/>
      <c r="C375" s="26">
        <f>ROUND(472.299,3)</f>
        <v>472.299</v>
      </c>
      <c r="D375" s="26">
        <f>F375</f>
        <v>479.449</v>
      </c>
      <c r="E375" s="26">
        <f>F375</f>
        <v>479.449</v>
      </c>
      <c r="F375" s="26">
        <f>ROUND(479.449,3)</f>
        <v>479.449</v>
      </c>
      <c r="G375" s="24"/>
      <c r="H375" s="36"/>
    </row>
    <row r="376" spans="1:8" ht="12.75" customHeight="1">
      <c r="A376" s="22">
        <v>42131</v>
      </c>
      <c r="B376" s="22"/>
      <c r="C376" s="26">
        <f>ROUND(472.299,3)</f>
        <v>472.299</v>
      </c>
      <c r="D376" s="26">
        <f>F376</f>
        <v>487.335</v>
      </c>
      <c r="E376" s="26">
        <f>F376</f>
        <v>487.335</v>
      </c>
      <c r="F376" s="26">
        <f>ROUND(487.335,3)</f>
        <v>487.335</v>
      </c>
      <c r="G376" s="24"/>
      <c r="H376" s="36"/>
    </row>
    <row r="377" spans="1:8" ht="12.75" customHeight="1">
      <c r="A377" s="22">
        <v>42222</v>
      </c>
      <c r="B377" s="22"/>
      <c r="C377" s="26">
        <f>ROUND(472.299,3)</f>
        <v>472.299</v>
      </c>
      <c r="D377" s="26">
        <f>F377</f>
        <v>495.687</v>
      </c>
      <c r="E377" s="26">
        <f>F377</f>
        <v>495.687</v>
      </c>
      <c r="F377" s="26">
        <f>ROUND(495.687,3)</f>
        <v>495.687</v>
      </c>
      <c r="G377" s="24"/>
      <c r="H377" s="36"/>
    </row>
    <row r="378" spans="1:8" ht="12.75" customHeight="1" thickBot="1">
      <c r="A378" s="32">
        <v>42313</v>
      </c>
      <c r="B378" s="32"/>
      <c r="C378" s="33">
        <f>ROUND(472.299,3)</f>
        <v>472.299</v>
      </c>
      <c r="D378" s="33">
        <f>F378</f>
        <v>504.768</v>
      </c>
      <c r="E378" s="33">
        <f>F378</f>
        <v>504.768</v>
      </c>
      <c r="F378" s="33">
        <f>ROUND(504.768,3)</f>
        <v>504.768</v>
      </c>
      <c r="G378" s="34"/>
      <c r="H378" s="37"/>
    </row>
  </sheetData>
  <sheetProtection/>
  <mergeCells count="377">
    <mergeCell ref="A374:B374"/>
    <mergeCell ref="A375:B375"/>
    <mergeCell ref="A376:B376"/>
    <mergeCell ref="A377:B377"/>
    <mergeCell ref="A378:B378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2014-11-07T15:52:41Z</dcterms:modified>
  <cp:category/>
  <cp:version/>
  <cp:contentType/>
  <cp:contentStatus/>
</cp:coreProperties>
</file>